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éeme" sheetId="1" state="visible" r:id="rId1"/>
    <sheet name="Ajustes" sheetId="2" state="visible" r:id="rId2"/>
    <sheet name="Registro" sheetId="3" state="visible" r:id="rId3"/>
    <sheet name="Resumen" sheetId="4" state="visible" r:id="rId4"/>
    <sheet name="Semana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#,##0.00;-#,##0.00;0.00"/>
  </numFmts>
  <fonts count="7">
    <font>
      <name val="Calibri"/>
      <family val="2"/>
      <color theme="1"/>
      <sz val="11"/>
      <scheme val="minor"/>
    </font>
    <font>
      <name val="Arial"/>
      <b val="1"/>
      <color rgb="001D2B4A"/>
      <sz val="14"/>
    </font>
    <font>
      <name val="Arial"/>
      <i val="1"/>
      <color rgb="00595959"/>
      <sz val="9"/>
    </font>
    <font>
      <name val="Arial"/>
      <b val="1"/>
      <sz val="10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F99"/>
      </patternFill>
    </fill>
    <fill>
      <patternFill patternType="solid">
        <fgColor rgb="00F3EEE3"/>
      </patternFill>
    </fill>
    <fill>
      <patternFill patternType="solid">
        <fgColor rgb="001D2B4A"/>
      </patternFill>
    </fill>
  </fills>
  <borders count="2">
    <border>
      <left/>
      <right/>
      <top/>
      <bottom/>
      <diagonal/>
    </border>
    <border>
      <left style="thin">
        <color rgb="00D9D2C0"/>
      </left>
      <right style="thin">
        <color rgb="00D9D2C0"/>
      </right>
      <top style="thin">
        <color rgb="00D9D2C0"/>
      </top>
      <bottom style="thin">
        <color rgb="00D9D2C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5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1" fontId="5" fillId="2" borderId="1" applyAlignment="1" pivotButton="0" quotePrefix="0" xfId="0">
      <alignment horizontal="right"/>
    </xf>
    <xf numFmtId="4" fontId="5" fillId="2" borderId="1" applyAlignment="1" pivotButton="0" quotePrefix="0" xfId="0">
      <alignment horizontal="right"/>
    </xf>
    <xf numFmtId="49" fontId="5" fillId="2" borderId="1" applyAlignment="1" pivotButton="0" quotePrefix="0" xfId="0">
      <alignment horizontal="right"/>
    </xf>
    <xf numFmtId="0" fontId="3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vertical="top" wrapText="1"/>
    </xf>
    <xf numFmtId="0" fontId="6" fillId="4" borderId="0" applyAlignment="1" pivotButton="0" quotePrefix="0" xfId="0">
      <alignment horizontal="center" vertical="center" wrapText="1"/>
    </xf>
    <xf numFmtId="164" fontId="5" fillId="0" borderId="1" pivotButton="0" quotePrefix="0" xfId="0"/>
    <xf numFmtId="0" fontId="5" fillId="0" borderId="1" pivotButton="0" quotePrefix="0" xfId="0"/>
    <xf numFmtId="164" fontId="5" fillId="2" borderId="1" pivotButton="0" quotePrefix="0" xfId="0"/>
    <xf numFmtId="0" fontId="5" fillId="2" borderId="1" pivotButton="0" quotePrefix="0" xfId="0"/>
    <xf numFmtId="0" fontId="6" fillId="4" borderId="1" applyAlignment="1" pivotButton="0" quotePrefix="0" xfId="0">
      <alignment horizontal="center" vertical="center" wrapText="1"/>
    </xf>
    <xf numFmtId="164" fontId="4" fillId="0" borderId="1" pivotButton="0" quotePrefix="0" xfId="0"/>
    <xf numFmtId="0" fontId="4" fillId="0" borderId="1" applyAlignment="1" pivotButton="0" quotePrefix="0" xfId="0">
      <alignment horizontal="center"/>
    </xf>
    <xf numFmtId="2" fontId="5" fillId="0" borderId="1" pivotButton="0" quotePrefix="0" xfId="0"/>
    <xf numFmtId="2" fontId="4" fillId="0" borderId="1" pivotButton="0" quotePrefix="0" xfId="0"/>
    <xf numFmtId="0" fontId="3" fillId="0" borderId="1" pivotButton="0" quotePrefix="0" xfId="0"/>
    <xf numFmtId="4" fontId="4" fillId="0" borderId="1" pivotButton="0" quotePrefix="0" xfId="0"/>
    <xf numFmtId="1" fontId="4" fillId="0" borderId="1" pivotButton="0" quotePrefix="0" xfId="0"/>
    <xf numFmtId="4" fontId="5" fillId="2" borderId="1" pivotButton="0" quotePrefix="0" xfId="0"/>
    <xf numFmtId="165" fontId="4" fillId="0" borderId="1" pivotButton="0" quotePrefix="0" xfId="0"/>
    <xf numFmtId="0" fontId="3" fillId="3" borderId="1" pivotButton="0" quotePrefix="0" xfId="0"/>
    <xf numFmtId="4" fontId="3" fillId="3" borderId="1" pivotButton="0" quotePrefix="0" xfId="0"/>
    <xf numFmtId="1" fontId="3" fillId="3" borderId="1" pivotButton="0" quotePrefix="0" xfId="0"/>
    <xf numFmtId="165" fontId="3" fillId="0" borderId="0" applyAlignment="1" pivotButton="0" quotePrefix="0" xfId="0">
      <alignment horizontal="right"/>
    </xf>
  </cellXfs>
  <cellStyles count="1">
    <cellStyle name="Normal" xfId="0" builtinId="0" hidden="0"/>
  </cellStyles>
  <dxfs count="2">
    <dxf>
      <fill>
        <patternFill patternType="solid">
          <fgColor rgb="00FDF1DC"/>
        </patternFill>
      </fill>
    </dxf>
    <dxf>
      <fill>
        <patternFill patternType="solid">
          <fgColor rgb="00EFEFE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Control de horas de trabajo</t>
        </is>
      </c>
    </row>
    <row r="2">
      <c r="A2" s="2" t="inlineStr">
        <is>
          <t>Plantilla de reboticayconvenio.es — de compañero a compañero</t>
        </is>
      </c>
    </row>
    <row r="4" ht="44" customHeight="1">
      <c r="A4" s="3" t="inlineStr">
        <is>
          <t>Qué hace</t>
        </is>
      </c>
      <c r="B4" s="4" t="inlineStr">
        <is>
          <t>Apuntas las horas que trabajas cada día y la hoja calcula sola las horas de cada semana y de cada mes, las horas en festivo y la diferencia con tu jornada anual.</t>
        </is>
      </c>
    </row>
    <row r="5" ht="44" customHeight="1">
      <c r="A5" s="3" t="inlineStr">
        <is>
          <t>1. Ajustes</t>
        </is>
      </c>
      <c r="B5" s="4" t="inlineStr">
        <is>
          <t>Rellena las celdas amarillas: año, jornada anual y horas semanales de TU contrato, y tus festivos (nacionales, autonómicos y locales).</t>
        </is>
      </c>
    </row>
    <row r="6" ht="44" customHeight="1">
      <c r="A6" s="3" t="inlineStr">
        <is>
          <t>2. Registro</t>
        </is>
      </c>
      <c r="B6" s="4" t="inlineStr">
        <is>
          <t>Una fila por día. Escribe solo en las columnas azules: «Horas» y «Tipo». El resto (fecha, día, festivo) se calcula solo.</t>
        </is>
      </c>
    </row>
    <row r="7" ht="30" customHeight="1">
      <c r="A7" s="3" t="inlineStr">
        <is>
          <t>3. Resumen</t>
        </is>
      </c>
      <c r="B7" s="4" t="inlineStr">
        <is>
          <t>Totales por mes y del año. Apunta en «Horas reales (nómina)» lo que aparece en tu nómina para ver si cuadra.</t>
        </is>
      </c>
    </row>
    <row r="8" ht="30" customHeight="1">
      <c r="A8" s="3" t="inlineStr">
        <is>
          <t>4. Semanas</t>
        </is>
      </c>
      <c r="B8" s="4" t="inlineStr">
        <is>
          <t>Horas de cada semana (lunes a domingo) y cuánto te pasas o te falta respecto a tu jornada semanal.</t>
        </is>
      </c>
    </row>
    <row r="9" ht="30" customHeight="1">
      <c r="A9" s="3" t="inlineStr">
        <is>
          <t>Cómo escribir las horas</t>
        </is>
      </c>
      <c r="B9" s="4" t="inlineStr">
        <is>
          <t>En decimal: 6,5 son 6 h 30 min; 7,25 son 7 h 15 min; 0,75 son 45 min.</t>
        </is>
      </c>
    </row>
    <row r="10" ht="30" customHeight="1">
      <c r="A10" s="3" t="inlineStr">
        <is>
          <t>Ejemplo</t>
        </is>
      </c>
      <c r="B10" s="4" t="inlineStr">
        <is>
          <t>Un martes que trabajas de 9:00 a 15:30: en «Horas» escribes 6,5 y en «Tipo» eliges «Trabajo».</t>
        </is>
      </c>
    </row>
    <row r="11" ht="44" customHeight="1">
      <c r="A11" s="3" t="inlineStr">
        <is>
          <t>Festivos</t>
        </is>
      </c>
      <c r="B11" s="4" t="inlineStr">
        <is>
          <t>Un día cuenta como festivo si está en la lista de Ajustes o si es domingo (y lo tienes marcado como «Sí» en Ajustes). Las horas de esos días se suman en «Horas festivas».</t>
        </is>
      </c>
    </row>
    <row r="12" ht="44" customHeight="1">
      <c r="A12" s="3" t="inlineStr">
        <is>
          <t>Ojo</t>
        </is>
      </c>
      <c r="B12" s="4" t="inlineStr">
        <is>
          <t>Los festivos que trae la lista son orientativos y de ámbito nacional para 2026: revisa el calendario laboral de tu comunidad y de tu localidad y ajústalos. La jornada anual y cómo se pagan las horas en festivo dependen de tu contrato y del convenio: consulta el texto oficial.</t>
        </is>
      </c>
    </row>
    <row r="14">
      <c r="A14" s="5" t="inlineStr">
        <is>
          <t>Leyenda de colores</t>
        </is>
      </c>
    </row>
    <row r="15">
      <c r="A15" s="6" t="inlineStr">
        <is>
          <t>Amarillo con letra azul</t>
        </is>
      </c>
      <c r="B15" s="7" t="inlineStr">
        <is>
          <t>Celda que tienes que rellenar tú.</t>
        </is>
      </c>
    </row>
    <row r="16">
      <c r="A16" s="8" t="inlineStr">
        <is>
          <t>Letra azul</t>
        </is>
      </c>
      <c r="B16" s="7" t="inlineStr">
        <is>
          <t>Dato que escribes tú (horas, tipo, horas reales).</t>
        </is>
      </c>
    </row>
    <row r="17">
      <c r="A17" s="7" t="inlineStr">
        <is>
          <t>Letra negra</t>
        </is>
      </c>
      <c r="B17" s="7" t="inlineStr">
        <is>
          <t>Se calcula sola: no la toques.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30" customWidth="1" min="2" max="2"/>
    <col width="80" customWidth="1" min="3" max="3"/>
    <col width="60" customWidth="1" min="4" max="4"/>
  </cols>
  <sheetData>
    <row r="1">
      <c r="A1" s="1" t="inlineStr">
        <is>
          <t>Ajustes</t>
        </is>
      </c>
    </row>
    <row r="3">
      <c r="A3" s="5" t="inlineStr">
        <is>
          <t>Año</t>
        </is>
      </c>
      <c r="B3" s="9" t="n">
        <v>2026</v>
      </c>
      <c r="C3" s="2" t="inlineStr">
        <is>
          <t>Año del calendario. Al cambiarlo, el Registro se recalcula (recuerda actualizar también los festivos).</t>
        </is>
      </c>
    </row>
    <row r="4">
      <c r="A4" s="5" t="inlineStr">
        <is>
          <t>Jornada anual de tu contrato (horas)</t>
        </is>
      </c>
      <c r="B4" s="10" t="n"/>
      <c r="C4" s="2" t="inlineStr">
        <is>
          <t>Consúltala en tu contrato o en el convenio. Se usa para calcular el saldo anual.</t>
        </is>
      </c>
    </row>
    <row r="5">
      <c r="A5" s="5" t="inlineStr">
        <is>
          <t>Horas semanales de tu contrato</t>
        </is>
      </c>
      <c r="B5" s="10" t="n"/>
      <c r="C5" s="2" t="inlineStr">
        <is>
          <t>Consúltalas en tu contrato. Se usan para ver cuánto te pasas o te falta cada semana.</t>
        </is>
      </c>
    </row>
    <row r="6">
      <c r="A6" s="5" t="inlineStr">
        <is>
          <t>¿Los domingos cuentan como festivos?</t>
        </is>
      </c>
      <c r="B6" s="11" t="inlineStr">
        <is>
          <t>Sí</t>
        </is>
      </c>
      <c r="C6" s="2" t="inlineStr">
        <is>
          <t>Elige Sí o No según tu contrato / convenio.</t>
        </is>
      </c>
    </row>
    <row r="9">
      <c r="A9" s="12" t="inlineStr">
        <is>
          <t>Festivos (fecha y nombre)</t>
        </is>
      </c>
      <c r="B9" s="13" t="n"/>
      <c r="D9" s="14" t="inlineStr">
        <is>
          <t>Los 8 primeros son orientativos (ámbito nacional, 2026). Añade los de tu comunidad autónoma y de tu localidad, y quita los que no apliquen.</t>
        </is>
      </c>
    </row>
    <row r="10">
      <c r="A10" s="15" t="inlineStr">
        <is>
          <t>Fecha</t>
        </is>
      </c>
      <c r="B10" s="15" t="inlineStr">
        <is>
          <t>Festivo</t>
        </is>
      </c>
    </row>
    <row r="11">
      <c r="A11" s="16" t="n">
        <v>46023</v>
      </c>
      <c r="B11" s="17" t="inlineStr">
        <is>
          <t>Año Nuevo</t>
        </is>
      </c>
    </row>
    <row r="12">
      <c r="A12" s="16" t="n">
        <v>46028</v>
      </c>
      <c r="B12" s="17" t="inlineStr">
        <is>
          <t>Epifanía del Señor</t>
        </is>
      </c>
    </row>
    <row r="13">
      <c r="A13" s="16" t="n">
        <v>46115</v>
      </c>
      <c r="B13" s="17" t="inlineStr">
        <is>
          <t>Viernes Santo</t>
        </is>
      </c>
    </row>
    <row r="14">
      <c r="A14" s="16" t="n">
        <v>46143</v>
      </c>
      <c r="B14" s="17" t="inlineStr">
        <is>
          <t>Fiesta del Trabajo</t>
        </is>
      </c>
    </row>
    <row r="15">
      <c r="A15" s="16" t="n">
        <v>46249</v>
      </c>
      <c r="B15" s="17" t="inlineStr">
        <is>
          <t>Asunción de la Virgen</t>
        </is>
      </c>
    </row>
    <row r="16">
      <c r="A16" s="16" t="n">
        <v>46307</v>
      </c>
      <c r="B16" s="17" t="inlineStr">
        <is>
          <t>Fiesta Nacional de España</t>
        </is>
      </c>
    </row>
    <row r="17">
      <c r="A17" s="16" t="n">
        <v>46364</v>
      </c>
      <c r="B17" s="17" t="inlineStr">
        <is>
          <t>Inmaculada Concepción</t>
        </is>
      </c>
    </row>
    <row r="18">
      <c r="A18" s="16" t="n">
        <v>46381</v>
      </c>
      <c r="B18" s="17" t="inlineStr">
        <is>
          <t>Navidad</t>
        </is>
      </c>
    </row>
    <row r="19">
      <c r="A19" s="18" t="n"/>
      <c r="B19" s="19" t="n"/>
    </row>
    <row r="20">
      <c r="A20" s="18" t="n"/>
      <c r="B20" s="19" t="n"/>
    </row>
    <row r="21">
      <c r="A21" s="18" t="n"/>
      <c r="B21" s="19" t="n"/>
    </row>
    <row r="22">
      <c r="A22" s="18" t="n"/>
      <c r="B22" s="19" t="n"/>
    </row>
    <row r="23">
      <c r="A23" s="18" t="n"/>
      <c r="B23" s="19" t="n"/>
    </row>
    <row r="24">
      <c r="A24" s="18" t="n"/>
      <c r="B24" s="19" t="n"/>
    </row>
    <row r="25">
      <c r="A25" s="18" t="n"/>
      <c r="B25" s="19" t="n"/>
    </row>
    <row r="26">
      <c r="A26" s="18" t="n"/>
      <c r="B26" s="19" t="n"/>
    </row>
    <row r="27">
      <c r="A27" s="18" t="n"/>
      <c r="B27" s="19" t="n"/>
    </row>
    <row r="28">
      <c r="A28" s="18" t="n"/>
      <c r="B28" s="19" t="n"/>
    </row>
    <row r="29">
      <c r="A29" s="18" t="n"/>
      <c r="B29" s="19" t="n"/>
    </row>
    <row r="30">
      <c r="A30" s="18" t="n"/>
      <c r="B30" s="19" t="n"/>
    </row>
    <row r="31">
      <c r="A31" s="18" t="n"/>
      <c r="B31" s="19" t="n"/>
    </row>
    <row r="32">
      <c r="A32" s="18" t="n"/>
      <c r="B32" s="19" t="n"/>
    </row>
    <row r="33">
      <c r="A33" s="18" t="n"/>
      <c r="B33" s="19" t="n"/>
    </row>
    <row r="34">
      <c r="A34" s="18" t="n"/>
      <c r="B34" s="19" t="n"/>
    </row>
    <row r="35">
      <c r="A35" s="18" t="n"/>
      <c r="B35" s="19" t="n"/>
    </row>
    <row r="36">
      <c r="A36" s="18" t="n"/>
      <c r="B36" s="19" t="n"/>
    </row>
    <row r="37">
      <c r="A37" s="18" t="n"/>
      <c r="B37" s="19" t="n"/>
    </row>
    <row r="38">
      <c r="A38" s="18" t="n"/>
      <c r="B38" s="19" t="n"/>
    </row>
    <row r="39">
      <c r="A39" s="18" t="n"/>
      <c r="B39" s="19" t="n"/>
    </row>
    <row r="40">
      <c r="A40" s="18" t="n"/>
      <c r="B40" s="19" t="n"/>
    </row>
  </sheetData>
  <dataValidations count="2">
    <dataValidation sqref="B6" showDropDown="0" showInputMessage="0" showErrorMessage="0" allowBlank="0" type="list">
      <formula1>"Sí,No"</formula1>
    </dataValidation>
    <dataValidation sqref="B3" showDropDown="0" showInputMessage="0" showErrorMessage="1" allowBlank="0" errorTitle="Año no válido" error="Escribe un año entre 2000 y 2100." type="whole" operator="between">
      <formula1>2000</formula1>
      <formula2>2100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9" customWidth="1" min="3" max="3"/>
    <col width="13" customWidth="1" min="4" max="4"/>
    <col width="9" customWidth="1" min="5" max="5"/>
    <col width="15" customWidth="1" min="6" max="6"/>
    <col width="6" customWidth="1" min="7" max="7"/>
    <col width="19" customWidth="1" min="8" max="8"/>
  </cols>
  <sheetData>
    <row r="1" ht="30" customHeight="1">
      <c r="A1" s="20" t="inlineStr">
        <is>
          <t>Fecha</t>
        </is>
      </c>
      <c r="B1" s="20" t="inlineStr">
        <is>
          <t>Día</t>
        </is>
      </c>
      <c r="C1" s="20" t="inlineStr">
        <is>
          <t>Horas</t>
        </is>
      </c>
      <c r="D1" s="20" t="inlineStr">
        <is>
          <t>Tipo</t>
        </is>
      </c>
      <c r="E1" s="20" t="inlineStr">
        <is>
          <t>Festivo</t>
        </is>
      </c>
      <c r="F1" s="20" t="inlineStr">
        <is>
          <t>Horas festivas</t>
        </is>
      </c>
      <c r="G1" s="20" t="inlineStr">
        <is>
          <t>Mes</t>
        </is>
      </c>
      <c r="H1" s="20" t="inlineStr">
        <is>
          <t>Lunes de la semana</t>
        </is>
      </c>
      <c r="J1" s="2" t="inlineStr">
        <is>
          <t>Escribe solo en «Horas» y «Tipo» (letra azul). 6,5 = 6 h 30 min. Ejemplo: 6,5 · Trabajo.</t>
        </is>
      </c>
    </row>
    <row r="2">
      <c r="A2" s="21">
        <f>IF(0&gt;DATE(Ajustes!$B$3,12,31)-DATE(Ajustes!$B$3,1,1),"",DATE(Ajustes!$B$3,1,1)+0)</f>
        <v/>
      </c>
      <c r="B2" s="22">
        <f>IF(A2="","",CHOOSE(WEEKDAY(A2,2),"Lunes","Martes","Miércoles","Jueves","Viernes","Sábado","Domingo"))</f>
        <v/>
      </c>
      <c r="C2" s="23" t="n"/>
      <c r="D2" s="17" t="n"/>
      <c r="E2" s="22">
        <f>IF(A2="","",IF(OR(COUNTIF(Ajustes!$A$11:$A$40,A2)&gt;0,AND(Ajustes!$B$6="Sí",WEEKDAY(A2,2)=7)),"Sí",""))</f>
        <v/>
      </c>
      <c r="F2" s="24">
        <f>IF(E2="Sí",N(C2),0)</f>
        <v/>
      </c>
      <c r="G2" s="22">
        <f>IF(A2="","",MONTH(A2))</f>
        <v/>
      </c>
      <c r="H2" s="21">
        <f>IF(A2="","",A2-WEEKDAY(A2,2)+1)</f>
        <v/>
      </c>
    </row>
    <row r="3">
      <c r="A3" s="21">
        <f>IF(1&gt;DATE(Ajustes!$B$3,12,31)-DATE(Ajustes!$B$3,1,1),"",DATE(Ajustes!$B$3,1,1)+1)</f>
        <v/>
      </c>
      <c r="B3" s="22">
        <f>IF(A3="","",CHOOSE(WEEKDAY(A3,2),"Lunes","Martes","Miércoles","Jueves","Viernes","Sábado","Domingo"))</f>
        <v/>
      </c>
      <c r="C3" s="23" t="n"/>
      <c r="D3" s="17" t="n"/>
      <c r="E3" s="22">
        <f>IF(A3="","",IF(OR(COUNTIF(Ajustes!$A$11:$A$40,A3)&gt;0,AND(Ajustes!$B$6="Sí",WEEKDAY(A3,2)=7)),"Sí",""))</f>
        <v/>
      </c>
      <c r="F3" s="24">
        <f>IF(E3="Sí",N(C3),0)</f>
        <v/>
      </c>
      <c r="G3" s="22">
        <f>IF(A3="","",MONTH(A3))</f>
        <v/>
      </c>
      <c r="H3" s="21">
        <f>IF(A3="","",A3-WEEKDAY(A3,2)+1)</f>
        <v/>
      </c>
    </row>
    <row r="4">
      <c r="A4" s="21">
        <f>IF(2&gt;DATE(Ajustes!$B$3,12,31)-DATE(Ajustes!$B$3,1,1),"",DATE(Ajustes!$B$3,1,1)+2)</f>
        <v/>
      </c>
      <c r="B4" s="22">
        <f>IF(A4="","",CHOOSE(WEEKDAY(A4,2),"Lunes","Martes","Miércoles","Jueves","Viernes","Sábado","Domingo"))</f>
        <v/>
      </c>
      <c r="C4" s="23" t="n"/>
      <c r="D4" s="17" t="n"/>
      <c r="E4" s="22">
        <f>IF(A4="","",IF(OR(COUNTIF(Ajustes!$A$11:$A$40,A4)&gt;0,AND(Ajustes!$B$6="Sí",WEEKDAY(A4,2)=7)),"Sí",""))</f>
        <v/>
      </c>
      <c r="F4" s="24">
        <f>IF(E4="Sí",N(C4),0)</f>
        <v/>
      </c>
      <c r="G4" s="22">
        <f>IF(A4="","",MONTH(A4))</f>
        <v/>
      </c>
      <c r="H4" s="21">
        <f>IF(A4="","",A4-WEEKDAY(A4,2)+1)</f>
        <v/>
      </c>
    </row>
    <row r="5">
      <c r="A5" s="21">
        <f>IF(3&gt;DATE(Ajustes!$B$3,12,31)-DATE(Ajustes!$B$3,1,1),"",DATE(Ajustes!$B$3,1,1)+3)</f>
        <v/>
      </c>
      <c r="B5" s="22">
        <f>IF(A5="","",CHOOSE(WEEKDAY(A5,2),"Lunes","Martes","Miércoles","Jueves","Viernes","Sábado","Domingo"))</f>
        <v/>
      </c>
      <c r="C5" s="23" t="n"/>
      <c r="D5" s="17" t="n"/>
      <c r="E5" s="22">
        <f>IF(A5="","",IF(OR(COUNTIF(Ajustes!$A$11:$A$40,A5)&gt;0,AND(Ajustes!$B$6="Sí",WEEKDAY(A5,2)=7)),"Sí",""))</f>
        <v/>
      </c>
      <c r="F5" s="24">
        <f>IF(E5="Sí",N(C5),0)</f>
        <v/>
      </c>
      <c r="G5" s="22">
        <f>IF(A5="","",MONTH(A5))</f>
        <v/>
      </c>
      <c r="H5" s="21">
        <f>IF(A5="","",A5-WEEKDAY(A5,2)+1)</f>
        <v/>
      </c>
    </row>
    <row r="6">
      <c r="A6" s="21">
        <f>IF(4&gt;DATE(Ajustes!$B$3,12,31)-DATE(Ajustes!$B$3,1,1),"",DATE(Ajustes!$B$3,1,1)+4)</f>
        <v/>
      </c>
      <c r="B6" s="22">
        <f>IF(A6="","",CHOOSE(WEEKDAY(A6,2),"Lunes","Martes","Miércoles","Jueves","Viernes","Sábado","Domingo"))</f>
        <v/>
      </c>
      <c r="C6" s="23" t="n"/>
      <c r="D6" s="17" t="n"/>
      <c r="E6" s="22">
        <f>IF(A6="","",IF(OR(COUNTIF(Ajustes!$A$11:$A$40,A6)&gt;0,AND(Ajustes!$B$6="Sí",WEEKDAY(A6,2)=7)),"Sí",""))</f>
        <v/>
      </c>
      <c r="F6" s="24">
        <f>IF(E6="Sí",N(C6),0)</f>
        <v/>
      </c>
      <c r="G6" s="22">
        <f>IF(A6="","",MONTH(A6))</f>
        <v/>
      </c>
      <c r="H6" s="21">
        <f>IF(A6="","",A6-WEEKDAY(A6,2)+1)</f>
        <v/>
      </c>
    </row>
    <row r="7">
      <c r="A7" s="21">
        <f>IF(5&gt;DATE(Ajustes!$B$3,12,31)-DATE(Ajustes!$B$3,1,1),"",DATE(Ajustes!$B$3,1,1)+5)</f>
        <v/>
      </c>
      <c r="B7" s="22">
        <f>IF(A7="","",CHOOSE(WEEKDAY(A7,2),"Lunes","Martes","Miércoles","Jueves","Viernes","Sábado","Domingo"))</f>
        <v/>
      </c>
      <c r="C7" s="23" t="n"/>
      <c r="D7" s="17" t="n"/>
      <c r="E7" s="22">
        <f>IF(A7="","",IF(OR(COUNTIF(Ajustes!$A$11:$A$40,A7)&gt;0,AND(Ajustes!$B$6="Sí",WEEKDAY(A7,2)=7)),"Sí",""))</f>
        <v/>
      </c>
      <c r="F7" s="24">
        <f>IF(E7="Sí",N(C7),0)</f>
        <v/>
      </c>
      <c r="G7" s="22">
        <f>IF(A7="","",MONTH(A7))</f>
        <v/>
      </c>
      <c r="H7" s="21">
        <f>IF(A7="","",A7-WEEKDAY(A7,2)+1)</f>
        <v/>
      </c>
    </row>
    <row r="8">
      <c r="A8" s="21">
        <f>IF(6&gt;DATE(Ajustes!$B$3,12,31)-DATE(Ajustes!$B$3,1,1),"",DATE(Ajustes!$B$3,1,1)+6)</f>
        <v/>
      </c>
      <c r="B8" s="22">
        <f>IF(A8="","",CHOOSE(WEEKDAY(A8,2),"Lunes","Martes","Miércoles","Jueves","Viernes","Sábado","Domingo"))</f>
        <v/>
      </c>
      <c r="C8" s="23" t="n"/>
      <c r="D8" s="17" t="n"/>
      <c r="E8" s="22">
        <f>IF(A8="","",IF(OR(COUNTIF(Ajustes!$A$11:$A$40,A8)&gt;0,AND(Ajustes!$B$6="Sí",WEEKDAY(A8,2)=7)),"Sí",""))</f>
        <v/>
      </c>
      <c r="F8" s="24">
        <f>IF(E8="Sí",N(C8),0)</f>
        <v/>
      </c>
      <c r="G8" s="22">
        <f>IF(A8="","",MONTH(A8))</f>
        <v/>
      </c>
      <c r="H8" s="21">
        <f>IF(A8="","",A8-WEEKDAY(A8,2)+1)</f>
        <v/>
      </c>
    </row>
    <row r="9">
      <c r="A9" s="21">
        <f>IF(7&gt;DATE(Ajustes!$B$3,12,31)-DATE(Ajustes!$B$3,1,1),"",DATE(Ajustes!$B$3,1,1)+7)</f>
        <v/>
      </c>
      <c r="B9" s="22">
        <f>IF(A9="","",CHOOSE(WEEKDAY(A9,2),"Lunes","Martes","Miércoles","Jueves","Viernes","Sábado","Domingo"))</f>
        <v/>
      </c>
      <c r="C9" s="23" t="n"/>
      <c r="D9" s="17" t="n"/>
      <c r="E9" s="22">
        <f>IF(A9="","",IF(OR(COUNTIF(Ajustes!$A$11:$A$40,A9)&gt;0,AND(Ajustes!$B$6="Sí",WEEKDAY(A9,2)=7)),"Sí",""))</f>
        <v/>
      </c>
      <c r="F9" s="24">
        <f>IF(E9="Sí",N(C9),0)</f>
        <v/>
      </c>
      <c r="G9" s="22">
        <f>IF(A9="","",MONTH(A9))</f>
        <v/>
      </c>
      <c r="H9" s="21">
        <f>IF(A9="","",A9-WEEKDAY(A9,2)+1)</f>
        <v/>
      </c>
    </row>
    <row r="10">
      <c r="A10" s="21">
        <f>IF(8&gt;DATE(Ajustes!$B$3,12,31)-DATE(Ajustes!$B$3,1,1),"",DATE(Ajustes!$B$3,1,1)+8)</f>
        <v/>
      </c>
      <c r="B10" s="22">
        <f>IF(A10="","",CHOOSE(WEEKDAY(A10,2),"Lunes","Martes","Miércoles","Jueves","Viernes","Sábado","Domingo"))</f>
        <v/>
      </c>
      <c r="C10" s="23" t="n"/>
      <c r="D10" s="17" t="n"/>
      <c r="E10" s="22">
        <f>IF(A10="","",IF(OR(COUNTIF(Ajustes!$A$11:$A$40,A10)&gt;0,AND(Ajustes!$B$6="Sí",WEEKDAY(A10,2)=7)),"Sí",""))</f>
        <v/>
      </c>
      <c r="F10" s="24">
        <f>IF(E10="Sí",N(C10),0)</f>
        <v/>
      </c>
      <c r="G10" s="22">
        <f>IF(A10="","",MONTH(A10))</f>
        <v/>
      </c>
      <c r="H10" s="21">
        <f>IF(A10="","",A10-WEEKDAY(A10,2)+1)</f>
        <v/>
      </c>
    </row>
    <row r="11">
      <c r="A11" s="21">
        <f>IF(9&gt;DATE(Ajustes!$B$3,12,31)-DATE(Ajustes!$B$3,1,1),"",DATE(Ajustes!$B$3,1,1)+9)</f>
        <v/>
      </c>
      <c r="B11" s="22">
        <f>IF(A11="","",CHOOSE(WEEKDAY(A11,2),"Lunes","Martes","Miércoles","Jueves","Viernes","Sábado","Domingo"))</f>
        <v/>
      </c>
      <c r="C11" s="23" t="n"/>
      <c r="D11" s="17" t="n"/>
      <c r="E11" s="22">
        <f>IF(A11="","",IF(OR(COUNTIF(Ajustes!$A$11:$A$40,A11)&gt;0,AND(Ajustes!$B$6="Sí",WEEKDAY(A11,2)=7)),"Sí",""))</f>
        <v/>
      </c>
      <c r="F11" s="24">
        <f>IF(E11="Sí",N(C11),0)</f>
        <v/>
      </c>
      <c r="G11" s="22">
        <f>IF(A11="","",MONTH(A11))</f>
        <v/>
      </c>
      <c r="H11" s="21">
        <f>IF(A11="","",A11-WEEKDAY(A11,2)+1)</f>
        <v/>
      </c>
    </row>
    <row r="12">
      <c r="A12" s="21">
        <f>IF(10&gt;DATE(Ajustes!$B$3,12,31)-DATE(Ajustes!$B$3,1,1),"",DATE(Ajustes!$B$3,1,1)+10)</f>
        <v/>
      </c>
      <c r="B12" s="22">
        <f>IF(A12="","",CHOOSE(WEEKDAY(A12,2),"Lunes","Martes","Miércoles","Jueves","Viernes","Sábado","Domingo"))</f>
        <v/>
      </c>
      <c r="C12" s="23" t="n"/>
      <c r="D12" s="17" t="n"/>
      <c r="E12" s="22">
        <f>IF(A12="","",IF(OR(COUNTIF(Ajustes!$A$11:$A$40,A12)&gt;0,AND(Ajustes!$B$6="Sí",WEEKDAY(A12,2)=7)),"Sí",""))</f>
        <v/>
      </c>
      <c r="F12" s="24">
        <f>IF(E12="Sí",N(C12),0)</f>
        <v/>
      </c>
      <c r="G12" s="22">
        <f>IF(A12="","",MONTH(A12))</f>
        <v/>
      </c>
      <c r="H12" s="21">
        <f>IF(A12="","",A12-WEEKDAY(A12,2)+1)</f>
        <v/>
      </c>
    </row>
    <row r="13">
      <c r="A13" s="21">
        <f>IF(11&gt;DATE(Ajustes!$B$3,12,31)-DATE(Ajustes!$B$3,1,1),"",DATE(Ajustes!$B$3,1,1)+11)</f>
        <v/>
      </c>
      <c r="B13" s="22">
        <f>IF(A13="","",CHOOSE(WEEKDAY(A13,2),"Lunes","Martes","Miércoles","Jueves","Viernes","Sábado","Domingo"))</f>
        <v/>
      </c>
      <c r="C13" s="23" t="n"/>
      <c r="D13" s="17" t="n"/>
      <c r="E13" s="22">
        <f>IF(A13="","",IF(OR(COUNTIF(Ajustes!$A$11:$A$40,A13)&gt;0,AND(Ajustes!$B$6="Sí",WEEKDAY(A13,2)=7)),"Sí",""))</f>
        <v/>
      </c>
      <c r="F13" s="24">
        <f>IF(E13="Sí",N(C13),0)</f>
        <v/>
      </c>
      <c r="G13" s="22">
        <f>IF(A13="","",MONTH(A13))</f>
        <v/>
      </c>
      <c r="H13" s="21">
        <f>IF(A13="","",A13-WEEKDAY(A13,2)+1)</f>
        <v/>
      </c>
    </row>
    <row r="14">
      <c r="A14" s="21">
        <f>IF(12&gt;DATE(Ajustes!$B$3,12,31)-DATE(Ajustes!$B$3,1,1),"",DATE(Ajustes!$B$3,1,1)+12)</f>
        <v/>
      </c>
      <c r="B14" s="22">
        <f>IF(A14="","",CHOOSE(WEEKDAY(A14,2),"Lunes","Martes","Miércoles","Jueves","Viernes","Sábado","Domingo"))</f>
        <v/>
      </c>
      <c r="C14" s="23" t="n"/>
      <c r="D14" s="17" t="n"/>
      <c r="E14" s="22">
        <f>IF(A14="","",IF(OR(COUNTIF(Ajustes!$A$11:$A$40,A14)&gt;0,AND(Ajustes!$B$6="Sí",WEEKDAY(A14,2)=7)),"Sí",""))</f>
        <v/>
      </c>
      <c r="F14" s="24">
        <f>IF(E14="Sí",N(C14),0)</f>
        <v/>
      </c>
      <c r="G14" s="22">
        <f>IF(A14="","",MONTH(A14))</f>
        <v/>
      </c>
      <c r="H14" s="21">
        <f>IF(A14="","",A14-WEEKDAY(A14,2)+1)</f>
        <v/>
      </c>
    </row>
    <row r="15">
      <c r="A15" s="21">
        <f>IF(13&gt;DATE(Ajustes!$B$3,12,31)-DATE(Ajustes!$B$3,1,1),"",DATE(Ajustes!$B$3,1,1)+13)</f>
        <v/>
      </c>
      <c r="B15" s="22">
        <f>IF(A15="","",CHOOSE(WEEKDAY(A15,2),"Lunes","Martes","Miércoles","Jueves","Viernes","Sábado","Domingo"))</f>
        <v/>
      </c>
      <c r="C15" s="23" t="n"/>
      <c r="D15" s="17" t="n"/>
      <c r="E15" s="22">
        <f>IF(A15="","",IF(OR(COUNTIF(Ajustes!$A$11:$A$40,A15)&gt;0,AND(Ajustes!$B$6="Sí",WEEKDAY(A15,2)=7)),"Sí",""))</f>
        <v/>
      </c>
      <c r="F15" s="24">
        <f>IF(E15="Sí",N(C15),0)</f>
        <v/>
      </c>
      <c r="G15" s="22">
        <f>IF(A15="","",MONTH(A15))</f>
        <v/>
      </c>
      <c r="H15" s="21">
        <f>IF(A15="","",A15-WEEKDAY(A15,2)+1)</f>
        <v/>
      </c>
    </row>
    <row r="16">
      <c r="A16" s="21">
        <f>IF(14&gt;DATE(Ajustes!$B$3,12,31)-DATE(Ajustes!$B$3,1,1),"",DATE(Ajustes!$B$3,1,1)+14)</f>
        <v/>
      </c>
      <c r="B16" s="22">
        <f>IF(A16="","",CHOOSE(WEEKDAY(A16,2),"Lunes","Martes","Miércoles","Jueves","Viernes","Sábado","Domingo"))</f>
        <v/>
      </c>
      <c r="C16" s="23" t="n"/>
      <c r="D16" s="17" t="n"/>
      <c r="E16" s="22">
        <f>IF(A16="","",IF(OR(COUNTIF(Ajustes!$A$11:$A$40,A16)&gt;0,AND(Ajustes!$B$6="Sí",WEEKDAY(A16,2)=7)),"Sí",""))</f>
        <v/>
      </c>
      <c r="F16" s="24">
        <f>IF(E16="Sí",N(C16),0)</f>
        <v/>
      </c>
      <c r="G16" s="22">
        <f>IF(A16="","",MONTH(A16))</f>
        <v/>
      </c>
      <c r="H16" s="21">
        <f>IF(A16="","",A16-WEEKDAY(A16,2)+1)</f>
        <v/>
      </c>
    </row>
    <row r="17">
      <c r="A17" s="21">
        <f>IF(15&gt;DATE(Ajustes!$B$3,12,31)-DATE(Ajustes!$B$3,1,1),"",DATE(Ajustes!$B$3,1,1)+15)</f>
        <v/>
      </c>
      <c r="B17" s="22">
        <f>IF(A17="","",CHOOSE(WEEKDAY(A17,2),"Lunes","Martes","Miércoles","Jueves","Viernes","Sábado","Domingo"))</f>
        <v/>
      </c>
      <c r="C17" s="23" t="n"/>
      <c r="D17" s="17" t="n"/>
      <c r="E17" s="22">
        <f>IF(A17="","",IF(OR(COUNTIF(Ajustes!$A$11:$A$40,A17)&gt;0,AND(Ajustes!$B$6="Sí",WEEKDAY(A17,2)=7)),"Sí",""))</f>
        <v/>
      </c>
      <c r="F17" s="24">
        <f>IF(E17="Sí",N(C17),0)</f>
        <v/>
      </c>
      <c r="G17" s="22">
        <f>IF(A17="","",MONTH(A17))</f>
        <v/>
      </c>
      <c r="H17" s="21">
        <f>IF(A17="","",A17-WEEKDAY(A17,2)+1)</f>
        <v/>
      </c>
    </row>
    <row r="18">
      <c r="A18" s="21">
        <f>IF(16&gt;DATE(Ajustes!$B$3,12,31)-DATE(Ajustes!$B$3,1,1),"",DATE(Ajustes!$B$3,1,1)+16)</f>
        <v/>
      </c>
      <c r="B18" s="22">
        <f>IF(A18="","",CHOOSE(WEEKDAY(A18,2),"Lunes","Martes","Miércoles","Jueves","Viernes","Sábado","Domingo"))</f>
        <v/>
      </c>
      <c r="C18" s="23" t="n"/>
      <c r="D18" s="17" t="n"/>
      <c r="E18" s="22">
        <f>IF(A18="","",IF(OR(COUNTIF(Ajustes!$A$11:$A$40,A18)&gt;0,AND(Ajustes!$B$6="Sí",WEEKDAY(A18,2)=7)),"Sí",""))</f>
        <v/>
      </c>
      <c r="F18" s="24">
        <f>IF(E18="Sí",N(C18),0)</f>
        <v/>
      </c>
      <c r="G18" s="22">
        <f>IF(A18="","",MONTH(A18))</f>
        <v/>
      </c>
      <c r="H18" s="21">
        <f>IF(A18="","",A18-WEEKDAY(A18,2)+1)</f>
        <v/>
      </c>
    </row>
    <row r="19">
      <c r="A19" s="21">
        <f>IF(17&gt;DATE(Ajustes!$B$3,12,31)-DATE(Ajustes!$B$3,1,1),"",DATE(Ajustes!$B$3,1,1)+17)</f>
        <v/>
      </c>
      <c r="B19" s="22">
        <f>IF(A19="","",CHOOSE(WEEKDAY(A19,2),"Lunes","Martes","Miércoles","Jueves","Viernes","Sábado","Domingo"))</f>
        <v/>
      </c>
      <c r="C19" s="23" t="n"/>
      <c r="D19" s="17" t="n"/>
      <c r="E19" s="22">
        <f>IF(A19="","",IF(OR(COUNTIF(Ajustes!$A$11:$A$40,A19)&gt;0,AND(Ajustes!$B$6="Sí",WEEKDAY(A19,2)=7)),"Sí",""))</f>
        <v/>
      </c>
      <c r="F19" s="24">
        <f>IF(E19="Sí",N(C19),0)</f>
        <v/>
      </c>
      <c r="G19" s="22">
        <f>IF(A19="","",MONTH(A19))</f>
        <v/>
      </c>
      <c r="H19" s="21">
        <f>IF(A19="","",A19-WEEKDAY(A19,2)+1)</f>
        <v/>
      </c>
    </row>
    <row r="20">
      <c r="A20" s="21">
        <f>IF(18&gt;DATE(Ajustes!$B$3,12,31)-DATE(Ajustes!$B$3,1,1),"",DATE(Ajustes!$B$3,1,1)+18)</f>
        <v/>
      </c>
      <c r="B20" s="22">
        <f>IF(A20="","",CHOOSE(WEEKDAY(A20,2),"Lunes","Martes","Miércoles","Jueves","Viernes","Sábado","Domingo"))</f>
        <v/>
      </c>
      <c r="C20" s="23" t="n"/>
      <c r="D20" s="17" t="n"/>
      <c r="E20" s="22">
        <f>IF(A20="","",IF(OR(COUNTIF(Ajustes!$A$11:$A$40,A20)&gt;0,AND(Ajustes!$B$6="Sí",WEEKDAY(A20,2)=7)),"Sí",""))</f>
        <v/>
      </c>
      <c r="F20" s="24">
        <f>IF(E20="Sí",N(C20),0)</f>
        <v/>
      </c>
      <c r="G20" s="22">
        <f>IF(A20="","",MONTH(A20))</f>
        <v/>
      </c>
      <c r="H20" s="21">
        <f>IF(A20="","",A20-WEEKDAY(A20,2)+1)</f>
        <v/>
      </c>
    </row>
    <row r="21">
      <c r="A21" s="21">
        <f>IF(19&gt;DATE(Ajustes!$B$3,12,31)-DATE(Ajustes!$B$3,1,1),"",DATE(Ajustes!$B$3,1,1)+19)</f>
        <v/>
      </c>
      <c r="B21" s="22">
        <f>IF(A21="","",CHOOSE(WEEKDAY(A21,2),"Lunes","Martes","Miércoles","Jueves","Viernes","Sábado","Domingo"))</f>
        <v/>
      </c>
      <c r="C21" s="23" t="n"/>
      <c r="D21" s="17" t="n"/>
      <c r="E21" s="22">
        <f>IF(A21="","",IF(OR(COUNTIF(Ajustes!$A$11:$A$40,A21)&gt;0,AND(Ajustes!$B$6="Sí",WEEKDAY(A21,2)=7)),"Sí",""))</f>
        <v/>
      </c>
      <c r="F21" s="24">
        <f>IF(E21="Sí",N(C21),0)</f>
        <v/>
      </c>
      <c r="G21" s="22">
        <f>IF(A21="","",MONTH(A21))</f>
        <v/>
      </c>
      <c r="H21" s="21">
        <f>IF(A21="","",A21-WEEKDAY(A21,2)+1)</f>
        <v/>
      </c>
    </row>
    <row r="22">
      <c r="A22" s="21">
        <f>IF(20&gt;DATE(Ajustes!$B$3,12,31)-DATE(Ajustes!$B$3,1,1),"",DATE(Ajustes!$B$3,1,1)+20)</f>
        <v/>
      </c>
      <c r="B22" s="22">
        <f>IF(A22="","",CHOOSE(WEEKDAY(A22,2),"Lunes","Martes","Miércoles","Jueves","Viernes","Sábado","Domingo"))</f>
        <v/>
      </c>
      <c r="C22" s="23" t="n"/>
      <c r="D22" s="17" t="n"/>
      <c r="E22" s="22">
        <f>IF(A22="","",IF(OR(COUNTIF(Ajustes!$A$11:$A$40,A22)&gt;0,AND(Ajustes!$B$6="Sí",WEEKDAY(A22,2)=7)),"Sí",""))</f>
        <v/>
      </c>
      <c r="F22" s="24">
        <f>IF(E22="Sí",N(C22),0)</f>
        <v/>
      </c>
      <c r="G22" s="22">
        <f>IF(A22="","",MONTH(A22))</f>
        <v/>
      </c>
      <c r="H22" s="21">
        <f>IF(A22="","",A22-WEEKDAY(A22,2)+1)</f>
        <v/>
      </c>
    </row>
    <row r="23">
      <c r="A23" s="21">
        <f>IF(21&gt;DATE(Ajustes!$B$3,12,31)-DATE(Ajustes!$B$3,1,1),"",DATE(Ajustes!$B$3,1,1)+21)</f>
        <v/>
      </c>
      <c r="B23" s="22">
        <f>IF(A23="","",CHOOSE(WEEKDAY(A23,2),"Lunes","Martes","Miércoles","Jueves","Viernes","Sábado","Domingo"))</f>
        <v/>
      </c>
      <c r="C23" s="23" t="n"/>
      <c r="D23" s="17" t="n"/>
      <c r="E23" s="22">
        <f>IF(A23="","",IF(OR(COUNTIF(Ajustes!$A$11:$A$40,A23)&gt;0,AND(Ajustes!$B$6="Sí",WEEKDAY(A23,2)=7)),"Sí",""))</f>
        <v/>
      </c>
      <c r="F23" s="24">
        <f>IF(E23="Sí",N(C23),0)</f>
        <v/>
      </c>
      <c r="G23" s="22">
        <f>IF(A23="","",MONTH(A23))</f>
        <v/>
      </c>
      <c r="H23" s="21">
        <f>IF(A23="","",A23-WEEKDAY(A23,2)+1)</f>
        <v/>
      </c>
    </row>
    <row r="24">
      <c r="A24" s="21">
        <f>IF(22&gt;DATE(Ajustes!$B$3,12,31)-DATE(Ajustes!$B$3,1,1),"",DATE(Ajustes!$B$3,1,1)+22)</f>
        <v/>
      </c>
      <c r="B24" s="22">
        <f>IF(A24="","",CHOOSE(WEEKDAY(A24,2),"Lunes","Martes","Miércoles","Jueves","Viernes","Sábado","Domingo"))</f>
        <v/>
      </c>
      <c r="C24" s="23" t="n"/>
      <c r="D24" s="17" t="n"/>
      <c r="E24" s="22">
        <f>IF(A24="","",IF(OR(COUNTIF(Ajustes!$A$11:$A$40,A24)&gt;0,AND(Ajustes!$B$6="Sí",WEEKDAY(A24,2)=7)),"Sí",""))</f>
        <v/>
      </c>
      <c r="F24" s="24">
        <f>IF(E24="Sí",N(C24),0)</f>
        <v/>
      </c>
      <c r="G24" s="22">
        <f>IF(A24="","",MONTH(A24))</f>
        <v/>
      </c>
      <c r="H24" s="21">
        <f>IF(A24="","",A24-WEEKDAY(A24,2)+1)</f>
        <v/>
      </c>
    </row>
    <row r="25">
      <c r="A25" s="21">
        <f>IF(23&gt;DATE(Ajustes!$B$3,12,31)-DATE(Ajustes!$B$3,1,1),"",DATE(Ajustes!$B$3,1,1)+23)</f>
        <v/>
      </c>
      <c r="B25" s="22">
        <f>IF(A25="","",CHOOSE(WEEKDAY(A25,2),"Lunes","Martes","Miércoles","Jueves","Viernes","Sábado","Domingo"))</f>
        <v/>
      </c>
      <c r="C25" s="23" t="n"/>
      <c r="D25" s="17" t="n"/>
      <c r="E25" s="22">
        <f>IF(A25="","",IF(OR(COUNTIF(Ajustes!$A$11:$A$40,A25)&gt;0,AND(Ajustes!$B$6="Sí",WEEKDAY(A25,2)=7)),"Sí",""))</f>
        <v/>
      </c>
      <c r="F25" s="24">
        <f>IF(E25="Sí",N(C25),0)</f>
        <v/>
      </c>
      <c r="G25" s="22">
        <f>IF(A25="","",MONTH(A25))</f>
        <v/>
      </c>
      <c r="H25" s="21">
        <f>IF(A25="","",A25-WEEKDAY(A25,2)+1)</f>
        <v/>
      </c>
    </row>
    <row r="26">
      <c r="A26" s="21">
        <f>IF(24&gt;DATE(Ajustes!$B$3,12,31)-DATE(Ajustes!$B$3,1,1),"",DATE(Ajustes!$B$3,1,1)+24)</f>
        <v/>
      </c>
      <c r="B26" s="22">
        <f>IF(A26="","",CHOOSE(WEEKDAY(A26,2),"Lunes","Martes","Miércoles","Jueves","Viernes","Sábado","Domingo"))</f>
        <v/>
      </c>
      <c r="C26" s="23" t="n"/>
      <c r="D26" s="17" t="n"/>
      <c r="E26" s="22">
        <f>IF(A26="","",IF(OR(COUNTIF(Ajustes!$A$11:$A$40,A26)&gt;0,AND(Ajustes!$B$6="Sí",WEEKDAY(A26,2)=7)),"Sí",""))</f>
        <v/>
      </c>
      <c r="F26" s="24">
        <f>IF(E26="Sí",N(C26),0)</f>
        <v/>
      </c>
      <c r="G26" s="22">
        <f>IF(A26="","",MONTH(A26))</f>
        <v/>
      </c>
      <c r="H26" s="21">
        <f>IF(A26="","",A26-WEEKDAY(A26,2)+1)</f>
        <v/>
      </c>
    </row>
    <row r="27">
      <c r="A27" s="21">
        <f>IF(25&gt;DATE(Ajustes!$B$3,12,31)-DATE(Ajustes!$B$3,1,1),"",DATE(Ajustes!$B$3,1,1)+25)</f>
        <v/>
      </c>
      <c r="B27" s="22">
        <f>IF(A27="","",CHOOSE(WEEKDAY(A27,2),"Lunes","Martes","Miércoles","Jueves","Viernes","Sábado","Domingo"))</f>
        <v/>
      </c>
      <c r="C27" s="23" t="n"/>
      <c r="D27" s="17" t="n"/>
      <c r="E27" s="22">
        <f>IF(A27="","",IF(OR(COUNTIF(Ajustes!$A$11:$A$40,A27)&gt;0,AND(Ajustes!$B$6="Sí",WEEKDAY(A27,2)=7)),"Sí",""))</f>
        <v/>
      </c>
      <c r="F27" s="24">
        <f>IF(E27="Sí",N(C27),0)</f>
        <v/>
      </c>
      <c r="G27" s="22">
        <f>IF(A27="","",MONTH(A27))</f>
        <v/>
      </c>
      <c r="H27" s="21">
        <f>IF(A27="","",A27-WEEKDAY(A27,2)+1)</f>
        <v/>
      </c>
    </row>
    <row r="28">
      <c r="A28" s="21">
        <f>IF(26&gt;DATE(Ajustes!$B$3,12,31)-DATE(Ajustes!$B$3,1,1),"",DATE(Ajustes!$B$3,1,1)+26)</f>
        <v/>
      </c>
      <c r="B28" s="22">
        <f>IF(A28="","",CHOOSE(WEEKDAY(A28,2),"Lunes","Martes","Miércoles","Jueves","Viernes","Sábado","Domingo"))</f>
        <v/>
      </c>
      <c r="C28" s="23" t="n"/>
      <c r="D28" s="17" t="n"/>
      <c r="E28" s="22">
        <f>IF(A28="","",IF(OR(COUNTIF(Ajustes!$A$11:$A$40,A28)&gt;0,AND(Ajustes!$B$6="Sí",WEEKDAY(A28,2)=7)),"Sí",""))</f>
        <v/>
      </c>
      <c r="F28" s="24">
        <f>IF(E28="Sí",N(C28),0)</f>
        <v/>
      </c>
      <c r="G28" s="22">
        <f>IF(A28="","",MONTH(A28))</f>
        <v/>
      </c>
      <c r="H28" s="21">
        <f>IF(A28="","",A28-WEEKDAY(A28,2)+1)</f>
        <v/>
      </c>
    </row>
    <row r="29">
      <c r="A29" s="21">
        <f>IF(27&gt;DATE(Ajustes!$B$3,12,31)-DATE(Ajustes!$B$3,1,1),"",DATE(Ajustes!$B$3,1,1)+27)</f>
        <v/>
      </c>
      <c r="B29" s="22">
        <f>IF(A29="","",CHOOSE(WEEKDAY(A29,2),"Lunes","Martes","Miércoles","Jueves","Viernes","Sábado","Domingo"))</f>
        <v/>
      </c>
      <c r="C29" s="23" t="n"/>
      <c r="D29" s="17" t="n"/>
      <c r="E29" s="22">
        <f>IF(A29="","",IF(OR(COUNTIF(Ajustes!$A$11:$A$40,A29)&gt;0,AND(Ajustes!$B$6="Sí",WEEKDAY(A29,2)=7)),"Sí",""))</f>
        <v/>
      </c>
      <c r="F29" s="24">
        <f>IF(E29="Sí",N(C29),0)</f>
        <v/>
      </c>
      <c r="G29" s="22">
        <f>IF(A29="","",MONTH(A29))</f>
        <v/>
      </c>
      <c r="H29" s="21">
        <f>IF(A29="","",A29-WEEKDAY(A29,2)+1)</f>
        <v/>
      </c>
    </row>
    <row r="30">
      <c r="A30" s="21">
        <f>IF(28&gt;DATE(Ajustes!$B$3,12,31)-DATE(Ajustes!$B$3,1,1),"",DATE(Ajustes!$B$3,1,1)+28)</f>
        <v/>
      </c>
      <c r="B30" s="22">
        <f>IF(A30="","",CHOOSE(WEEKDAY(A30,2),"Lunes","Martes","Miércoles","Jueves","Viernes","Sábado","Domingo"))</f>
        <v/>
      </c>
      <c r="C30" s="23" t="n"/>
      <c r="D30" s="17" t="n"/>
      <c r="E30" s="22">
        <f>IF(A30="","",IF(OR(COUNTIF(Ajustes!$A$11:$A$40,A30)&gt;0,AND(Ajustes!$B$6="Sí",WEEKDAY(A30,2)=7)),"Sí",""))</f>
        <v/>
      </c>
      <c r="F30" s="24">
        <f>IF(E30="Sí",N(C30),0)</f>
        <v/>
      </c>
      <c r="G30" s="22">
        <f>IF(A30="","",MONTH(A30))</f>
        <v/>
      </c>
      <c r="H30" s="21">
        <f>IF(A30="","",A30-WEEKDAY(A30,2)+1)</f>
        <v/>
      </c>
    </row>
    <row r="31">
      <c r="A31" s="21">
        <f>IF(29&gt;DATE(Ajustes!$B$3,12,31)-DATE(Ajustes!$B$3,1,1),"",DATE(Ajustes!$B$3,1,1)+29)</f>
        <v/>
      </c>
      <c r="B31" s="22">
        <f>IF(A31="","",CHOOSE(WEEKDAY(A31,2),"Lunes","Martes","Miércoles","Jueves","Viernes","Sábado","Domingo"))</f>
        <v/>
      </c>
      <c r="C31" s="23" t="n"/>
      <c r="D31" s="17" t="n"/>
      <c r="E31" s="22">
        <f>IF(A31="","",IF(OR(COUNTIF(Ajustes!$A$11:$A$40,A31)&gt;0,AND(Ajustes!$B$6="Sí",WEEKDAY(A31,2)=7)),"Sí",""))</f>
        <v/>
      </c>
      <c r="F31" s="24">
        <f>IF(E31="Sí",N(C31),0)</f>
        <v/>
      </c>
      <c r="G31" s="22">
        <f>IF(A31="","",MONTH(A31))</f>
        <v/>
      </c>
      <c r="H31" s="21">
        <f>IF(A31="","",A31-WEEKDAY(A31,2)+1)</f>
        <v/>
      </c>
    </row>
    <row r="32">
      <c r="A32" s="21">
        <f>IF(30&gt;DATE(Ajustes!$B$3,12,31)-DATE(Ajustes!$B$3,1,1),"",DATE(Ajustes!$B$3,1,1)+30)</f>
        <v/>
      </c>
      <c r="B32" s="22">
        <f>IF(A32="","",CHOOSE(WEEKDAY(A32,2),"Lunes","Martes","Miércoles","Jueves","Viernes","Sábado","Domingo"))</f>
        <v/>
      </c>
      <c r="C32" s="23" t="n"/>
      <c r="D32" s="17" t="n"/>
      <c r="E32" s="22">
        <f>IF(A32="","",IF(OR(COUNTIF(Ajustes!$A$11:$A$40,A32)&gt;0,AND(Ajustes!$B$6="Sí",WEEKDAY(A32,2)=7)),"Sí",""))</f>
        <v/>
      </c>
      <c r="F32" s="24">
        <f>IF(E32="Sí",N(C32),0)</f>
        <v/>
      </c>
      <c r="G32" s="22">
        <f>IF(A32="","",MONTH(A32))</f>
        <v/>
      </c>
      <c r="H32" s="21">
        <f>IF(A32="","",A32-WEEKDAY(A32,2)+1)</f>
        <v/>
      </c>
    </row>
    <row r="33">
      <c r="A33" s="21">
        <f>IF(31&gt;DATE(Ajustes!$B$3,12,31)-DATE(Ajustes!$B$3,1,1),"",DATE(Ajustes!$B$3,1,1)+31)</f>
        <v/>
      </c>
      <c r="B33" s="22">
        <f>IF(A33="","",CHOOSE(WEEKDAY(A33,2),"Lunes","Martes","Miércoles","Jueves","Viernes","Sábado","Domingo"))</f>
        <v/>
      </c>
      <c r="C33" s="23" t="n"/>
      <c r="D33" s="17" t="n"/>
      <c r="E33" s="22">
        <f>IF(A33="","",IF(OR(COUNTIF(Ajustes!$A$11:$A$40,A33)&gt;0,AND(Ajustes!$B$6="Sí",WEEKDAY(A33,2)=7)),"Sí",""))</f>
        <v/>
      </c>
      <c r="F33" s="24">
        <f>IF(E33="Sí",N(C33),0)</f>
        <v/>
      </c>
      <c r="G33" s="22">
        <f>IF(A33="","",MONTH(A33))</f>
        <v/>
      </c>
      <c r="H33" s="21">
        <f>IF(A33="","",A33-WEEKDAY(A33,2)+1)</f>
        <v/>
      </c>
    </row>
    <row r="34">
      <c r="A34" s="21">
        <f>IF(32&gt;DATE(Ajustes!$B$3,12,31)-DATE(Ajustes!$B$3,1,1),"",DATE(Ajustes!$B$3,1,1)+32)</f>
        <v/>
      </c>
      <c r="B34" s="22">
        <f>IF(A34="","",CHOOSE(WEEKDAY(A34,2),"Lunes","Martes","Miércoles","Jueves","Viernes","Sábado","Domingo"))</f>
        <v/>
      </c>
      <c r="C34" s="23" t="n"/>
      <c r="D34" s="17" t="n"/>
      <c r="E34" s="22">
        <f>IF(A34="","",IF(OR(COUNTIF(Ajustes!$A$11:$A$40,A34)&gt;0,AND(Ajustes!$B$6="Sí",WEEKDAY(A34,2)=7)),"Sí",""))</f>
        <v/>
      </c>
      <c r="F34" s="24">
        <f>IF(E34="Sí",N(C34),0)</f>
        <v/>
      </c>
      <c r="G34" s="22">
        <f>IF(A34="","",MONTH(A34))</f>
        <v/>
      </c>
      <c r="H34" s="21">
        <f>IF(A34="","",A34-WEEKDAY(A34,2)+1)</f>
        <v/>
      </c>
    </row>
    <row r="35">
      <c r="A35" s="21">
        <f>IF(33&gt;DATE(Ajustes!$B$3,12,31)-DATE(Ajustes!$B$3,1,1),"",DATE(Ajustes!$B$3,1,1)+33)</f>
        <v/>
      </c>
      <c r="B35" s="22">
        <f>IF(A35="","",CHOOSE(WEEKDAY(A35,2),"Lunes","Martes","Miércoles","Jueves","Viernes","Sábado","Domingo"))</f>
        <v/>
      </c>
      <c r="C35" s="23" t="n"/>
      <c r="D35" s="17" t="n"/>
      <c r="E35" s="22">
        <f>IF(A35="","",IF(OR(COUNTIF(Ajustes!$A$11:$A$40,A35)&gt;0,AND(Ajustes!$B$6="Sí",WEEKDAY(A35,2)=7)),"Sí",""))</f>
        <v/>
      </c>
      <c r="F35" s="24">
        <f>IF(E35="Sí",N(C35),0)</f>
        <v/>
      </c>
      <c r="G35" s="22">
        <f>IF(A35="","",MONTH(A35))</f>
        <v/>
      </c>
      <c r="H35" s="21">
        <f>IF(A35="","",A35-WEEKDAY(A35,2)+1)</f>
        <v/>
      </c>
    </row>
    <row r="36">
      <c r="A36" s="21">
        <f>IF(34&gt;DATE(Ajustes!$B$3,12,31)-DATE(Ajustes!$B$3,1,1),"",DATE(Ajustes!$B$3,1,1)+34)</f>
        <v/>
      </c>
      <c r="B36" s="22">
        <f>IF(A36="","",CHOOSE(WEEKDAY(A36,2),"Lunes","Martes","Miércoles","Jueves","Viernes","Sábado","Domingo"))</f>
        <v/>
      </c>
      <c r="C36" s="23" t="n"/>
      <c r="D36" s="17" t="n"/>
      <c r="E36" s="22">
        <f>IF(A36="","",IF(OR(COUNTIF(Ajustes!$A$11:$A$40,A36)&gt;0,AND(Ajustes!$B$6="Sí",WEEKDAY(A36,2)=7)),"Sí",""))</f>
        <v/>
      </c>
      <c r="F36" s="24">
        <f>IF(E36="Sí",N(C36),0)</f>
        <v/>
      </c>
      <c r="G36" s="22">
        <f>IF(A36="","",MONTH(A36))</f>
        <v/>
      </c>
      <c r="H36" s="21">
        <f>IF(A36="","",A36-WEEKDAY(A36,2)+1)</f>
        <v/>
      </c>
    </row>
    <row r="37">
      <c r="A37" s="21">
        <f>IF(35&gt;DATE(Ajustes!$B$3,12,31)-DATE(Ajustes!$B$3,1,1),"",DATE(Ajustes!$B$3,1,1)+35)</f>
        <v/>
      </c>
      <c r="B37" s="22">
        <f>IF(A37="","",CHOOSE(WEEKDAY(A37,2),"Lunes","Martes","Miércoles","Jueves","Viernes","Sábado","Domingo"))</f>
        <v/>
      </c>
      <c r="C37" s="23" t="n"/>
      <c r="D37" s="17" t="n"/>
      <c r="E37" s="22">
        <f>IF(A37="","",IF(OR(COUNTIF(Ajustes!$A$11:$A$40,A37)&gt;0,AND(Ajustes!$B$6="Sí",WEEKDAY(A37,2)=7)),"Sí",""))</f>
        <v/>
      </c>
      <c r="F37" s="24">
        <f>IF(E37="Sí",N(C37),0)</f>
        <v/>
      </c>
      <c r="G37" s="22">
        <f>IF(A37="","",MONTH(A37))</f>
        <v/>
      </c>
      <c r="H37" s="21">
        <f>IF(A37="","",A37-WEEKDAY(A37,2)+1)</f>
        <v/>
      </c>
    </row>
    <row r="38">
      <c r="A38" s="21">
        <f>IF(36&gt;DATE(Ajustes!$B$3,12,31)-DATE(Ajustes!$B$3,1,1),"",DATE(Ajustes!$B$3,1,1)+36)</f>
        <v/>
      </c>
      <c r="B38" s="22">
        <f>IF(A38="","",CHOOSE(WEEKDAY(A38,2),"Lunes","Martes","Miércoles","Jueves","Viernes","Sábado","Domingo"))</f>
        <v/>
      </c>
      <c r="C38" s="23" t="n"/>
      <c r="D38" s="17" t="n"/>
      <c r="E38" s="22">
        <f>IF(A38="","",IF(OR(COUNTIF(Ajustes!$A$11:$A$40,A38)&gt;0,AND(Ajustes!$B$6="Sí",WEEKDAY(A38,2)=7)),"Sí",""))</f>
        <v/>
      </c>
      <c r="F38" s="24">
        <f>IF(E38="Sí",N(C38),0)</f>
        <v/>
      </c>
      <c r="G38" s="22">
        <f>IF(A38="","",MONTH(A38))</f>
        <v/>
      </c>
      <c r="H38" s="21">
        <f>IF(A38="","",A38-WEEKDAY(A38,2)+1)</f>
        <v/>
      </c>
    </row>
    <row r="39">
      <c r="A39" s="21">
        <f>IF(37&gt;DATE(Ajustes!$B$3,12,31)-DATE(Ajustes!$B$3,1,1),"",DATE(Ajustes!$B$3,1,1)+37)</f>
        <v/>
      </c>
      <c r="B39" s="22">
        <f>IF(A39="","",CHOOSE(WEEKDAY(A39,2),"Lunes","Martes","Miércoles","Jueves","Viernes","Sábado","Domingo"))</f>
        <v/>
      </c>
      <c r="C39" s="23" t="n"/>
      <c r="D39" s="17" t="n"/>
      <c r="E39" s="22">
        <f>IF(A39="","",IF(OR(COUNTIF(Ajustes!$A$11:$A$40,A39)&gt;0,AND(Ajustes!$B$6="Sí",WEEKDAY(A39,2)=7)),"Sí",""))</f>
        <v/>
      </c>
      <c r="F39" s="24">
        <f>IF(E39="Sí",N(C39),0)</f>
        <v/>
      </c>
      <c r="G39" s="22">
        <f>IF(A39="","",MONTH(A39))</f>
        <v/>
      </c>
      <c r="H39" s="21">
        <f>IF(A39="","",A39-WEEKDAY(A39,2)+1)</f>
        <v/>
      </c>
    </row>
    <row r="40">
      <c r="A40" s="21">
        <f>IF(38&gt;DATE(Ajustes!$B$3,12,31)-DATE(Ajustes!$B$3,1,1),"",DATE(Ajustes!$B$3,1,1)+38)</f>
        <v/>
      </c>
      <c r="B40" s="22">
        <f>IF(A40="","",CHOOSE(WEEKDAY(A40,2),"Lunes","Martes","Miércoles","Jueves","Viernes","Sábado","Domingo"))</f>
        <v/>
      </c>
      <c r="C40" s="23" t="n"/>
      <c r="D40" s="17" t="n"/>
      <c r="E40" s="22">
        <f>IF(A40="","",IF(OR(COUNTIF(Ajustes!$A$11:$A$40,A40)&gt;0,AND(Ajustes!$B$6="Sí",WEEKDAY(A40,2)=7)),"Sí",""))</f>
        <v/>
      </c>
      <c r="F40" s="24">
        <f>IF(E40="Sí",N(C40),0)</f>
        <v/>
      </c>
      <c r="G40" s="22">
        <f>IF(A40="","",MONTH(A40))</f>
        <v/>
      </c>
      <c r="H40" s="21">
        <f>IF(A40="","",A40-WEEKDAY(A40,2)+1)</f>
        <v/>
      </c>
    </row>
    <row r="41">
      <c r="A41" s="21">
        <f>IF(39&gt;DATE(Ajustes!$B$3,12,31)-DATE(Ajustes!$B$3,1,1),"",DATE(Ajustes!$B$3,1,1)+39)</f>
        <v/>
      </c>
      <c r="B41" s="22">
        <f>IF(A41="","",CHOOSE(WEEKDAY(A41,2),"Lunes","Martes","Miércoles","Jueves","Viernes","Sábado","Domingo"))</f>
        <v/>
      </c>
      <c r="C41" s="23" t="n"/>
      <c r="D41" s="17" t="n"/>
      <c r="E41" s="22">
        <f>IF(A41="","",IF(OR(COUNTIF(Ajustes!$A$11:$A$40,A41)&gt;0,AND(Ajustes!$B$6="Sí",WEEKDAY(A41,2)=7)),"Sí",""))</f>
        <v/>
      </c>
      <c r="F41" s="24">
        <f>IF(E41="Sí",N(C41),0)</f>
        <v/>
      </c>
      <c r="G41" s="22">
        <f>IF(A41="","",MONTH(A41))</f>
        <v/>
      </c>
      <c r="H41" s="21">
        <f>IF(A41="","",A41-WEEKDAY(A41,2)+1)</f>
        <v/>
      </c>
    </row>
    <row r="42">
      <c r="A42" s="21">
        <f>IF(40&gt;DATE(Ajustes!$B$3,12,31)-DATE(Ajustes!$B$3,1,1),"",DATE(Ajustes!$B$3,1,1)+40)</f>
        <v/>
      </c>
      <c r="B42" s="22">
        <f>IF(A42="","",CHOOSE(WEEKDAY(A42,2),"Lunes","Martes","Miércoles","Jueves","Viernes","Sábado","Domingo"))</f>
        <v/>
      </c>
      <c r="C42" s="23" t="n"/>
      <c r="D42" s="17" t="n"/>
      <c r="E42" s="22">
        <f>IF(A42="","",IF(OR(COUNTIF(Ajustes!$A$11:$A$40,A42)&gt;0,AND(Ajustes!$B$6="Sí",WEEKDAY(A42,2)=7)),"Sí",""))</f>
        <v/>
      </c>
      <c r="F42" s="24">
        <f>IF(E42="Sí",N(C42),0)</f>
        <v/>
      </c>
      <c r="G42" s="22">
        <f>IF(A42="","",MONTH(A42))</f>
        <v/>
      </c>
      <c r="H42" s="21">
        <f>IF(A42="","",A42-WEEKDAY(A42,2)+1)</f>
        <v/>
      </c>
    </row>
    <row r="43">
      <c r="A43" s="21">
        <f>IF(41&gt;DATE(Ajustes!$B$3,12,31)-DATE(Ajustes!$B$3,1,1),"",DATE(Ajustes!$B$3,1,1)+41)</f>
        <v/>
      </c>
      <c r="B43" s="22">
        <f>IF(A43="","",CHOOSE(WEEKDAY(A43,2),"Lunes","Martes","Miércoles","Jueves","Viernes","Sábado","Domingo"))</f>
        <v/>
      </c>
      <c r="C43" s="23" t="n"/>
      <c r="D43" s="17" t="n"/>
      <c r="E43" s="22">
        <f>IF(A43="","",IF(OR(COUNTIF(Ajustes!$A$11:$A$40,A43)&gt;0,AND(Ajustes!$B$6="Sí",WEEKDAY(A43,2)=7)),"Sí",""))</f>
        <v/>
      </c>
      <c r="F43" s="24">
        <f>IF(E43="Sí",N(C43),0)</f>
        <v/>
      </c>
      <c r="G43" s="22">
        <f>IF(A43="","",MONTH(A43))</f>
        <v/>
      </c>
      <c r="H43" s="21">
        <f>IF(A43="","",A43-WEEKDAY(A43,2)+1)</f>
        <v/>
      </c>
    </row>
    <row r="44">
      <c r="A44" s="21">
        <f>IF(42&gt;DATE(Ajustes!$B$3,12,31)-DATE(Ajustes!$B$3,1,1),"",DATE(Ajustes!$B$3,1,1)+42)</f>
        <v/>
      </c>
      <c r="B44" s="22">
        <f>IF(A44="","",CHOOSE(WEEKDAY(A44,2),"Lunes","Martes","Miércoles","Jueves","Viernes","Sábado","Domingo"))</f>
        <v/>
      </c>
      <c r="C44" s="23" t="n"/>
      <c r="D44" s="17" t="n"/>
      <c r="E44" s="22">
        <f>IF(A44="","",IF(OR(COUNTIF(Ajustes!$A$11:$A$40,A44)&gt;0,AND(Ajustes!$B$6="Sí",WEEKDAY(A44,2)=7)),"Sí",""))</f>
        <v/>
      </c>
      <c r="F44" s="24">
        <f>IF(E44="Sí",N(C44),0)</f>
        <v/>
      </c>
      <c r="G44" s="22">
        <f>IF(A44="","",MONTH(A44))</f>
        <v/>
      </c>
      <c r="H44" s="21">
        <f>IF(A44="","",A44-WEEKDAY(A44,2)+1)</f>
        <v/>
      </c>
    </row>
    <row r="45">
      <c r="A45" s="21">
        <f>IF(43&gt;DATE(Ajustes!$B$3,12,31)-DATE(Ajustes!$B$3,1,1),"",DATE(Ajustes!$B$3,1,1)+43)</f>
        <v/>
      </c>
      <c r="B45" s="22">
        <f>IF(A45="","",CHOOSE(WEEKDAY(A45,2),"Lunes","Martes","Miércoles","Jueves","Viernes","Sábado","Domingo"))</f>
        <v/>
      </c>
      <c r="C45" s="23" t="n"/>
      <c r="D45" s="17" t="n"/>
      <c r="E45" s="22">
        <f>IF(A45="","",IF(OR(COUNTIF(Ajustes!$A$11:$A$40,A45)&gt;0,AND(Ajustes!$B$6="Sí",WEEKDAY(A45,2)=7)),"Sí",""))</f>
        <v/>
      </c>
      <c r="F45" s="24">
        <f>IF(E45="Sí",N(C45),0)</f>
        <v/>
      </c>
      <c r="G45" s="22">
        <f>IF(A45="","",MONTH(A45))</f>
        <v/>
      </c>
      <c r="H45" s="21">
        <f>IF(A45="","",A45-WEEKDAY(A45,2)+1)</f>
        <v/>
      </c>
    </row>
    <row r="46">
      <c r="A46" s="21">
        <f>IF(44&gt;DATE(Ajustes!$B$3,12,31)-DATE(Ajustes!$B$3,1,1),"",DATE(Ajustes!$B$3,1,1)+44)</f>
        <v/>
      </c>
      <c r="B46" s="22">
        <f>IF(A46="","",CHOOSE(WEEKDAY(A46,2),"Lunes","Martes","Miércoles","Jueves","Viernes","Sábado","Domingo"))</f>
        <v/>
      </c>
      <c r="C46" s="23" t="n"/>
      <c r="D46" s="17" t="n"/>
      <c r="E46" s="22">
        <f>IF(A46="","",IF(OR(COUNTIF(Ajustes!$A$11:$A$40,A46)&gt;0,AND(Ajustes!$B$6="Sí",WEEKDAY(A46,2)=7)),"Sí",""))</f>
        <v/>
      </c>
      <c r="F46" s="24">
        <f>IF(E46="Sí",N(C46),0)</f>
        <v/>
      </c>
      <c r="G46" s="22">
        <f>IF(A46="","",MONTH(A46))</f>
        <v/>
      </c>
      <c r="H46" s="21">
        <f>IF(A46="","",A46-WEEKDAY(A46,2)+1)</f>
        <v/>
      </c>
    </row>
    <row r="47">
      <c r="A47" s="21">
        <f>IF(45&gt;DATE(Ajustes!$B$3,12,31)-DATE(Ajustes!$B$3,1,1),"",DATE(Ajustes!$B$3,1,1)+45)</f>
        <v/>
      </c>
      <c r="B47" s="22">
        <f>IF(A47="","",CHOOSE(WEEKDAY(A47,2),"Lunes","Martes","Miércoles","Jueves","Viernes","Sábado","Domingo"))</f>
        <v/>
      </c>
      <c r="C47" s="23" t="n"/>
      <c r="D47" s="17" t="n"/>
      <c r="E47" s="22">
        <f>IF(A47="","",IF(OR(COUNTIF(Ajustes!$A$11:$A$40,A47)&gt;0,AND(Ajustes!$B$6="Sí",WEEKDAY(A47,2)=7)),"Sí",""))</f>
        <v/>
      </c>
      <c r="F47" s="24">
        <f>IF(E47="Sí",N(C47),0)</f>
        <v/>
      </c>
      <c r="G47" s="22">
        <f>IF(A47="","",MONTH(A47))</f>
        <v/>
      </c>
      <c r="H47" s="21">
        <f>IF(A47="","",A47-WEEKDAY(A47,2)+1)</f>
        <v/>
      </c>
    </row>
    <row r="48">
      <c r="A48" s="21">
        <f>IF(46&gt;DATE(Ajustes!$B$3,12,31)-DATE(Ajustes!$B$3,1,1),"",DATE(Ajustes!$B$3,1,1)+46)</f>
        <v/>
      </c>
      <c r="B48" s="22">
        <f>IF(A48="","",CHOOSE(WEEKDAY(A48,2),"Lunes","Martes","Miércoles","Jueves","Viernes","Sábado","Domingo"))</f>
        <v/>
      </c>
      <c r="C48" s="23" t="n"/>
      <c r="D48" s="17" t="n"/>
      <c r="E48" s="22">
        <f>IF(A48="","",IF(OR(COUNTIF(Ajustes!$A$11:$A$40,A48)&gt;0,AND(Ajustes!$B$6="Sí",WEEKDAY(A48,2)=7)),"Sí",""))</f>
        <v/>
      </c>
      <c r="F48" s="24">
        <f>IF(E48="Sí",N(C48),0)</f>
        <v/>
      </c>
      <c r="G48" s="22">
        <f>IF(A48="","",MONTH(A48))</f>
        <v/>
      </c>
      <c r="H48" s="21">
        <f>IF(A48="","",A48-WEEKDAY(A48,2)+1)</f>
        <v/>
      </c>
    </row>
    <row r="49">
      <c r="A49" s="21">
        <f>IF(47&gt;DATE(Ajustes!$B$3,12,31)-DATE(Ajustes!$B$3,1,1),"",DATE(Ajustes!$B$3,1,1)+47)</f>
        <v/>
      </c>
      <c r="B49" s="22">
        <f>IF(A49="","",CHOOSE(WEEKDAY(A49,2),"Lunes","Martes","Miércoles","Jueves","Viernes","Sábado","Domingo"))</f>
        <v/>
      </c>
      <c r="C49" s="23" t="n"/>
      <c r="D49" s="17" t="n"/>
      <c r="E49" s="22">
        <f>IF(A49="","",IF(OR(COUNTIF(Ajustes!$A$11:$A$40,A49)&gt;0,AND(Ajustes!$B$6="Sí",WEEKDAY(A49,2)=7)),"Sí",""))</f>
        <v/>
      </c>
      <c r="F49" s="24">
        <f>IF(E49="Sí",N(C49),0)</f>
        <v/>
      </c>
      <c r="G49" s="22">
        <f>IF(A49="","",MONTH(A49))</f>
        <v/>
      </c>
      <c r="H49" s="21">
        <f>IF(A49="","",A49-WEEKDAY(A49,2)+1)</f>
        <v/>
      </c>
    </row>
    <row r="50">
      <c r="A50" s="21">
        <f>IF(48&gt;DATE(Ajustes!$B$3,12,31)-DATE(Ajustes!$B$3,1,1),"",DATE(Ajustes!$B$3,1,1)+48)</f>
        <v/>
      </c>
      <c r="B50" s="22">
        <f>IF(A50="","",CHOOSE(WEEKDAY(A50,2),"Lunes","Martes","Miércoles","Jueves","Viernes","Sábado","Domingo"))</f>
        <v/>
      </c>
      <c r="C50" s="23" t="n"/>
      <c r="D50" s="17" t="n"/>
      <c r="E50" s="22">
        <f>IF(A50="","",IF(OR(COUNTIF(Ajustes!$A$11:$A$40,A50)&gt;0,AND(Ajustes!$B$6="Sí",WEEKDAY(A50,2)=7)),"Sí",""))</f>
        <v/>
      </c>
      <c r="F50" s="24">
        <f>IF(E50="Sí",N(C50),0)</f>
        <v/>
      </c>
      <c r="G50" s="22">
        <f>IF(A50="","",MONTH(A50))</f>
        <v/>
      </c>
      <c r="H50" s="21">
        <f>IF(A50="","",A50-WEEKDAY(A50,2)+1)</f>
        <v/>
      </c>
    </row>
    <row r="51">
      <c r="A51" s="21">
        <f>IF(49&gt;DATE(Ajustes!$B$3,12,31)-DATE(Ajustes!$B$3,1,1),"",DATE(Ajustes!$B$3,1,1)+49)</f>
        <v/>
      </c>
      <c r="B51" s="22">
        <f>IF(A51="","",CHOOSE(WEEKDAY(A51,2),"Lunes","Martes","Miércoles","Jueves","Viernes","Sábado","Domingo"))</f>
        <v/>
      </c>
      <c r="C51" s="23" t="n"/>
      <c r="D51" s="17" t="n"/>
      <c r="E51" s="22">
        <f>IF(A51="","",IF(OR(COUNTIF(Ajustes!$A$11:$A$40,A51)&gt;0,AND(Ajustes!$B$6="Sí",WEEKDAY(A51,2)=7)),"Sí",""))</f>
        <v/>
      </c>
      <c r="F51" s="24">
        <f>IF(E51="Sí",N(C51),0)</f>
        <v/>
      </c>
      <c r="G51" s="22">
        <f>IF(A51="","",MONTH(A51))</f>
        <v/>
      </c>
      <c r="H51" s="21">
        <f>IF(A51="","",A51-WEEKDAY(A51,2)+1)</f>
        <v/>
      </c>
    </row>
    <row r="52">
      <c r="A52" s="21">
        <f>IF(50&gt;DATE(Ajustes!$B$3,12,31)-DATE(Ajustes!$B$3,1,1),"",DATE(Ajustes!$B$3,1,1)+50)</f>
        <v/>
      </c>
      <c r="B52" s="22">
        <f>IF(A52="","",CHOOSE(WEEKDAY(A52,2),"Lunes","Martes","Miércoles","Jueves","Viernes","Sábado","Domingo"))</f>
        <v/>
      </c>
      <c r="C52" s="23" t="n"/>
      <c r="D52" s="17" t="n"/>
      <c r="E52" s="22">
        <f>IF(A52="","",IF(OR(COUNTIF(Ajustes!$A$11:$A$40,A52)&gt;0,AND(Ajustes!$B$6="Sí",WEEKDAY(A52,2)=7)),"Sí",""))</f>
        <v/>
      </c>
      <c r="F52" s="24">
        <f>IF(E52="Sí",N(C52),0)</f>
        <v/>
      </c>
      <c r="G52" s="22">
        <f>IF(A52="","",MONTH(A52))</f>
        <v/>
      </c>
      <c r="H52" s="21">
        <f>IF(A52="","",A52-WEEKDAY(A52,2)+1)</f>
        <v/>
      </c>
    </row>
    <row r="53">
      <c r="A53" s="21">
        <f>IF(51&gt;DATE(Ajustes!$B$3,12,31)-DATE(Ajustes!$B$3,1,1),"",DATE(Ajustes!$B$3,1,1)+51)</f>
        <v/>
      </c>
      <c r="B53" s="22">
        <f>IF(A53="","",CHOOSE(WEEKDAY(A53,2),"Lunes","Martes","Miércoles","Jueves","Viernes","Sábado","Domingo"))</f>
        <v/>
      </c>
      <c r="C53" s="23" t="n"/>
      <c r="D53" s="17" t="n"/>
      <c r="E53" s="22">
        <f>IF(A53="","",IF(OR(COUNTIF(Ajustes!$A$11:$A$40,A53)&gt;0,AND(Ajustes!$B$6="Sí",WEEKDAY(A53,2)=7)),"Sí",""))</f>
        <v/>
      </c>
      <c r="F53" s="24">
        <f>IF(E53="Sí",N(C53),0)</f>
        <v/>
      </c>
      <c r="G53" s="22">
        <f>IF(A53="","",MONTH(A53))</f>
        <v/>
      </c>
      <c r="H53" s="21">
        <f>IF(A53="","",A53-WEEKDAY(A53,2)+1)</f>
        <v/>
      </c>
    </row>
    <row r="54">
      <c r="A54" s="21">
        <f>IF(52&gt;DATE(Ajustes!$B$3,12,31)-DATE(Ajustes!$B$3,1,1),"",DATE(Ajustes!$B$3,1,1)+52)</f>
        <v/>
      </c>
      <c r="B54" s="22">
        <f>IF(A54="","",CHOOSE(WEEKDAY(A54,2),"Lunes","Martes","Miércoles","Jueves","Viernes","Sábado","Domingo"))</f>
        <v/>
      </c>
      <c r="C54" s="23" t="n"/>
      <c r="D54" s="17" t="n"/>
      <c r="E54" s="22">
        <f>IF(A54="","",IF(OR(COUNTIF(Ajustes!$A$11:$A$40,A54)&gt;0,AND(Ajustes!$B$6="Sí",WEEKDAY(A54,2)=7)),"Sí",""))</f>
        <v/>
      </c>
      <c r="F54" s="24">
        <f>IF(E54="Sí",N(C54),0)</f>
        <v/>
      </c>
      <c r="G54" s="22">
        <f>IF(A54="","",MONTH(A54))</f>
        <v/>
      </c>
      <c r="H54" s="21">
        <f>IF(A54="","",A54-WEEKDAY(A54,2)+1)</f>
        <v/>
      </c>
    </row>
    <row r="55">
      <c r="A55" s="21">
        <f>IF(53&gt;DATE(Ajustes!$B$3,12,31)-DATE(Ajustes!$B$3,1,1),"",DATE(Ajustes!$B$3,1,1)+53)</f>
        <v/>
      </c>
      <c r="B55" s="22">
        <f>IF(A55="","",CHOOSE(WEEKDAY(A55,2),"Lunes","Martes","Miércoles","Jueves","Viernes","Sábado","Domingo"))</f>
        <v/>
      </c>
      <c r="C55" s="23" t="n"/>
      <c r="D55" s="17" t="n"/>
      <c r="E55" s="22">
        <f>IF(A55="","",IF(OR(COUNTIF(Ajustes!$A$11:$A$40,A55)&gt;0,AND(Ajustes!$B$6="Sí",WEEKDAY(A55,2)=7)),"Sí",""))</f>
        <v/>
      </c>
      <c r="F55" s="24">
        <f>IF(E55="Sí",N(C55),0)</f>
        <v/>
      </c>
      <c r="G55" s="22">
        <f>IF(A55="","",MONTH(A55))</f>
        <v/>
      </c>
      <c r="H55" s="21">
        <f>IF(A55="","",A55-WEEKDAY(A55,2)+1)</f>
        <v/>
      </c>
    </row>
    <row r="56">
      <c r="A56" s="21">
        <f>IF(54&gt;DATE(Ajustes!$B$3,12,31)-DATE(Ajustes!$B$3,1,1),"",DATE(Ajustes!$B$3,1,1)+54)</f>
        <v/>
      </c>
      <c r="B56" s="22">
        <f>IF(A56="","",CHOOSE(WEEKDAY(A56,2),"Lunes","Martes","Miércoles","Jueves","Viernes","Sábado","Domingo"))</f>
        <v/>
      </c>
      <c r="C56" s="23" t="n"/>
      <c r="D56" s="17" t="n"/>
      <c r="E56" s="22">
        <f>IF(A56="","",IF(OR(COUNTIF(Ajustes!$A$11:$A$40,A56)&gt;0,AND(Ajustes!$B$6="Sí",WEEKDAY(A56,2)=7)),"Sí",""))</f>
        <v/>
      </c>
      <c r="F56" s="24">
        <f>IF(E56="Sí",N(C56),0)</f>
        <v/>
      </c>
      <c r="G56" s="22">
        <f>IF(A56="","",MONTH(A56))</f>
        <v/>
      </c>
      <c r="H56" s="21">
        <f>IF(A56="","",A56-WEEKDAY(A56,2)+1)</f>
        <v/>
      </c>
    </row>
    <row r="57">
      <c r="A57" s="21">
        <f>IF(55&gt;DATE(Ajustes!$B$3,12,31)-DATE(Ajustes!$B$3,1,1),"",DATE(Ajustes!$B$3,1,1)+55)</f>
        <v/>
      </c>
      <c r="B57" s="22">
        <f>IF(A57="","",CHOOSE(WEEKDAY(A57,2),"Lunes","Martes","Miércoles","Jueves","Viernes","Sábado","Domingo"))</f>
        <v/>
      </c>
      <c r="C57" s="23" t="n"/>
      <c r="D57" s="17" t="n"/>
      <c r="E57" s="22">
        <f>IF(A57="","",IF(OR(COUNTIF(Ajustes!$A$11:$A$40,A57)&gt;0,AND(Ajustes!$B$6="Sí",WEEKDAY(A57,2)=7)),"Sí",""))</f>
        <v/>
      </c>
      <c r="F57" s="24">
        <f>IF(E57="Sí",N(C57),0)</f>
        <v/>
      </c>
      <c r="G57" s="22">
        <f>IF(A57="","",MONTH(A57))</f>
        <v/>
      </c>
      <c r="H57" s="21">
        <f>IF(A57="","",A57-WEEKDAY(A57,2)+1)</f>
        <v/>
      </c>
    </row>
    <row r="58">
      <c r="A58" s="21">
        <f>IF(56&gt;DATE(Ajustes!$B$3,12,31)-DATE(Ajustes!$B$3,1,1),"",DATE(Ajustes!$B$3,1,1)+56)</f>
        <v/>
      </c>
      <c r="B58" s="22">
        <f>IF(A58="","",CHOOSE(WEEKDAY(A58,2),"Lunes","Martes","Miércoles","Jueves","Viernes","Sábado","Domingo"))</f>
        <v/>
      </c>
      <c r="C58" s="23" t="n"/>
      <c r="D58" s="17" t="n"/>
      <c r="E58" s="22">
        <f>IF(A58="","",IF(OR(COUNTIF(Ajustes!$A$11:$A$40,A58)&gt;0,AND(Ajustes!$B$6="Sí",WEEKDAY(A58,2)=7)),"Sí",""))</f>
        <v/>
      </c>
      <c r="F58" s="24">
        <f>IF(E58="Sí",N(C58),0)</f>
        <v/>
      </c>
      <c r="G58" s="22">
        <f>IF(A58="","",MONTH(A58))</f>
        <v/>
      </c>
      <c r="H58" s="21">
        <f>IF(A58="","",A58-WEEKDAY(A58,2)+1)</f>
        <v/>
      </c>
    </row>
    <row r="59">
      <c r="A59" s="21">
        <f>IF(57&gt;DATE(Ajustes!$B$3,12,31)-DATE(Ajustes!$B$3,1,1),"",DATE(Ajustes!$B$3,1,1)+57)</f>
        <v/>
      </c>
      <c r="B59" s="22">
        <f>IF(A59="","",CHOOSE(WEEKDAY(A59,2),"Lunes","Martes","Miércoles","Jueves","Viernes","Sábado","Domingo"))</f>
        <v/>
      </c>
      <c r="C59" s="23" t="n"/>
      <c r="D59" s="17" t="n"/>
      <c r="E59" s="22">
        <f>IF(A59="","",IF(OR(COUNTIF(Ajustes!$A$11:$A$40,A59)&gt;0,AND(Ajustes!$B$6="Sí",WEEKDAY(A59,2)=7)),"Sí",""))</f>
        <v/>
      </c>
      <c r="F59" s="24">
        <f>IF(E59="Sí",N(C59),0)</f>
        <v/>
      </c>
      <c r="G59" s="22">
        <f>IF(A59="","",MONTH(A59))</f>
        <v/>
      </c>
      <c r="H59" s="21">
        <f>IF(A59="","",A59-WEEKDAY(A59,2)+1)</f>
        <v/>
      </c>
    </row>
    <row r="60">
      <c r="A60" s="21">
        <f>IF(58&gt;DATE(Ajustes!$B$3,12,31)-DATE(Ajustes!$B$3,1,1),"",DATE(Ajustes!$B$3,1,1)+58)</f>
        <v/>
      </c>
      <c r="B60" s="22">
        <f>IF(A60="","",CHOOSE(WEEKDAY(A60,2),"Lunes","Martes","Miércoles","Jueves","Viernes","Sábado","Domingo"))</f>
        <v/>
      </c>
      <c r="C60" s="23" t="n"/>
      <c r="D60" s="17" t="n"/>
      <c r="E60" s="22">
        <f>IF(A60="","",IF(OR(COUNTIF(Ajustes!$A$11:$A$40,A60)&gt;0,AND(Ajustes!$B$6="Sí",WEEKDAY(A60,2)=7)),"Sí",""))</f>
        <v/>
      </c>
      <c r="F60" s="24">
        <f>IF(E60="Sí",N(C60),0)</f>
        <v/>
      </c>
      <c r="G60" s="22">
        <f>IF(A60="","",MONTH(A60))</f>
        <v/>
      </c>
      <c r="H60" s="21">
        <f>IF(A60="","",A60-WEEKDAY(A60,2)+1)</f>
        <v/>
      </c>
    </row>
    <row r="61">
      <c r="A61" s="21">
        <f>IF(59&gt;DATE(Ajustes!$B$3,12,31)-DATE(Ajustes!$B$3,1,1),"",DATE(Ajustes!$B$3,1,1)+59)</f>
        <v/>
      </c>
      <c r="B61" s="22">
        <f>IF(A61="","",CHOOSE(WEEKDAY(A61,2),"Lunes","Martes","Miércoles","Jueves","Viernes","Sábado","Domingo"))</f>
        <v/>
      </c>
      <c r="C61" s="23" t="n"/>
      <c r="D61" s="17" t="n"/>
      <c r="E61" s="22">
        <f>IF(A61="","",IF(OR(COUNTIF(Ajustes!$A$11:$A$40,A61)&gt;0,AND(Ajustes!$B$6="Sí",WEEKDAY(A61,2)=7)),"Sí",""))</f>
        <v/>
      </c>
      <c r="F61" s="24">
        <f>IF(E61="Sí",N(C61),0)</f>
        <v/>
      </c>
      <c r="G61" s="22">
        <f>IF(A61="","",MONTH(A61))</f>
        <v/>
      </c>
      <c r="H61" s="21">
        <f>IF(A61="","",A61-WEEKDAY(A61,2)+1)</f>
        <v/>
      </c>
    </row>
    <row r="62">
      <c r="A62" s="21">
        <f>IF(60&gt;DATE(Ajustes!$B$3,12,31)-DATE(Ajustes!$B$3,1,1),"",DATE(Ajustes!$B$3,1,1)+60)</f>
        <v/>
      </c>
      <c r="B62" s="22">
        <f>IF(A62="","",CHOOSE(WEEKDAY(A62,2),"Lunes","Martes","Miércoles","Jueves","Viernes","Sábado","Domingo"))</f>
        <v/>
      </c>
      <c r="C62" s="23" t="n"/>
      <c r="D62" s="17" t="n"/>
      <c r="E62" s="22">
        <f>IF(A62="","",IF(OR(COUNTIF(Ajustes!$A$11:$A$40,A62)&gt;0,AND(Ajustes!$B$6="Sí",WEEKDAY(A62,2)=7)),"Sí",""))</f>
        <v/>
      </c>
      <c r="F62" s="24">
        <f>IF(E62="Sí",N(C62),0)</f>
        <v/>
      </c>
      <c r="G62" s="22">
        <f>IF(A62="","",MONTH(A62))</f>
        <v/>
      </c>
      <c r="H62" s="21">
        <f>IF(A62="","",A62-WEEKDAY(A62,2)+1)</f>
        <v/>
      </c>
    </row>
    <row r="63">
      <c r="A63" s="21">
        <f>IF(61&gt;DATE(Ajustes!$B$3,12,31)-DATE(Ajustes!$B$3,1,1),"",DATE(Ajustes!$B$3,1,1)+61)</f>
        <v/>
      </c>
      <c r="B63" s="22">
        <f>IF(A63="","",CHOOSE(WEEKDAY(A63,2),"Lunes","Martes","Miércoles","Jueves","Viernes","Sábado","Domingo"))</f>
        <v/>
      </c>
      <c r="C63" s="23" t="n"/>
      <c r="D63" s="17" t="n"/>
      <c r="E63" s="22">
        <f>IF(A63="","",IF(OR(COUNTIF(Ajustes!$A$11:$A$40,A63)&gt;0,AND(Ajustes!$B$6="Sí",WEEKDAY(A63,2)=7)),"Sí",""))</f>
        <v/>
      </c>
      <c r="F63" s="24">
        <f>IF(E63="Sí",N(C63),0)</f>
        <v/>
      </c>
      <c r="G63" s="22">
        <f>IF(A63="","",MONTH(A63))</f>
        <v/>
      </c>
      <c r="H63" s="21">
        <f>IF(A63="","",A63-WEEKDAY(A63,2)+1)</f>
        <v/>
      </c>
    </row>
    <row r="64">
      <c r="A64" s="21">
        <f>IF(62&gt;DATE(Ajustes!$B$3,12,31)-DATE(Ajustes!$B$3,1,1),"",DATE(Ajustes!$B$3,1,1)+62)</f>
        <v/>
      </c>
      <c r="B64" s="22">
        <f>IF(A64="","",CHOOSE(WEEKDAY(A64,2),"Lunes","Martes","Miércoles","Jueves","Viernes","Sábado","Domingo"))</f>
        <v/>
      </c>
      <c r="C64" s="23" t="n"/>
      <c r="D64" s="17" t="n"/>
      <c r="E64" s="22">
        <f>IF(A64="","",IF(OR(COUNTIF(Ajustes!$A$11:$A$40,A64)&gt;0,AND(Ajustes!$B$6="Sí",WEEKDAY(A64,2)=7)),"Sí",""))</f>
        <v/>
      </c>
      <c r="F64" s="24">
        <f>IF(E64="Sí",N(C64),0)</f>
        <v/>
      </c>
      <c r="G64" s="22">
        <f>IF(A64="","",MONTH(A64))</f>
        <v/>
      </c>
      <c r="H64" s="21">
        <f>IF(A64="","",A64-WEEKDAY(A64,2)+1)</f>
        <v/>
      </c>
    </row>
    <row r="65">
      <c r="A65" s="21">
        <f>IF(63&gt;DATE(Ajustes!$B$3,12,31)-DATE(Ajustes!$B$3,1,1),"",DATE(Ajustes!$B$3,1,1)+63)</f>
        <v/>
      </c>
      <c r="B65" s="22">
        <f>IF(A65="","",CHOOSE(WEEKDAY(A65,2),"Lunes","Martes","Miércoles","Jueves","Viernes","Sábado","Domingo"))</f>
        <v/>
      </c>
      <c r="C65" s="23" t="n"/>
      <c r="D65" s="17" t="n"/>
      <c r="E65" s="22">
        <f>IF(A65="","",IF(OR(COUNTIF(Ajustes!$A$11:$A$40,A65)&gt;0,AND(Ajustes!$B$6="Sí",WEEKDAY(A65,2)=7)),"Sí",""))</f>
        <v/>
      </c>
      <c r="F65" s="24">
        <f>IF(E65="Sí",N(C65),0)</f>
        <v/>
      </c>
      <c r="G65" s="22">
        <f>IF(A65="","",MONTH(A65))</f>
        <v/>
      </c>
      <c r="H65" s="21">
        <f>IF(A65="","",A65-WEEKDAY(A65,2)+1)</f>
        <v/>
      </c>
    </row>
    <row r="66">
      <c r="A66" s="21">
        <f>IF(64&gt;DATE(Ajustes!$B$3,12,31)-DATE(Ajustes!$B$3,1,1),"",DATE(Ajustes!$B$3,1,1)+64)</f>
        <v/>
      </c>
      <c r="B66" s="22">
        <f>IF(A66="","",CHOOSE(WEEKDAY(A66,2),"Lunes","Martes","Miércoles","Jueves","Viernes","Sábado","Domingo"))</f>
        <v/>
      </c>
      <c r="C66" s="23" t="n"/>
      <c r="D66" s="17" t="n"/>
      <c r="E66" s="22">
        <f>IF(A66="","",IF(OR(COUNTIF(Ajustes!$A$11:$A$40,A66)&gt;0,AND(Ajustes!$B$6="Sí",WEEKDAY(A66,2)=7)),"Sí",""))</f>
        <v/>
      </c>
      <c r="F66" s="24">
        <f>IF(E66="Sí",N(C66),0)</f>
        <v/>
      </c>
      <c r="G66" s="22">
        <f>IF(A66="","",MONTH(A66))</f>
        <v/>
      </c>
      <c r="H66" s="21">
        <f>IF(A66="","",A66-WEEKDAY(A66,2)+1)</f>
        <v/>
      </c>
    </row>
    <row r="67">
      <c r="A67" s="21">
        <f>IF(65&gt;DATE(Ajustes!$B$3,12,31)-DATE(Ajustes!$B$3,1,1),"",DATE(Ajustes!$B$3,1,1)+65)</f>
        <v/>
      </c>
      <c r="B67" s="22">
        <f>IF(A67="","",CHOOSE(WEEKDAY(A67,2),"Lunes","Martes","Miércoles","Jueves","Viernes","Sábado","Domingo"))</f>
        <v/>
      </c>
      <c r="C67" s="23" t="n"/>
      <c r="D67" s="17" t="n"/>
      <c r="E67" s="22">
        <f>IF(A67="","",IF(OR(COUNTIF(Ajustes!$A$11:$A$40,A67)&gt;0,AND(Ajustes!$B$6="Sí",WEEKDAY(A67,2)=7)),"Sí",""))</f>
        <v/>
      </c>
      <c r="F67" s="24">
        <f>IF(E67="Sí",N(C67),0)</f>
        <v/>
      </c>
      <c r="G67" s="22">
        <f>IF(A67="","",MONTH(A67))</f>
        <v/>
      </c>
      <c r="H67" s="21">
        <f>IF(A67="","",A67-WEEKDAY(A67,2)+1)</f>
        <v/>
      </c>
    </row>
    <row r="68">
      <c r="A68" s="21">
        <f>IF(66&gt;DATE(Ajustes!$B$3,12,31)-DATE(Ajustes!$B$3,1,1),"",DATE(Ajustes!$B$3,1,1)+66)</f>
        <v/>
      </c>
      <c r="B68" s="22">
        <f>IF(A68="","",CHOOSE(WEEKDAY(A68,2),"Lunes","Martes","Miércoles","Jueves","Viernes","Sábado","Domingo"))</f>
        <v/>
      </c>
      <c r="C68" s="23" t="n"/>
      <c r="D68" s="17" t="n"/>
      <c r="E68" s="22">
        <f>IF(A68="","",IF(OR(COUNTIF(Ajustes!$A$11:$A$40,A68)&gt;0,AND(Ajustes!$B$6="Sí",WEEKDAY(A68,2)=7)),"Sí",""))</f>
        <v/>
      </c>
      <c r="F68" s="24">
        <f>IF(E68="Sí",N(C68),0)</f>
        <v/>
      </c>
      <c r="G68" s="22">
        <f>IF(A68="","",MONTH(A68))</f>
        <v/>
      </c>
      <c r="H68" s="21">
        <f>IF(A68="","",A68-WEEKDAY(A68,2)+1)</f>
        <v/>
      </c>
    </row>
    <row r="69">
      <c r="A69" s="21">
        <f>IF(67&gt;DATE(Ajustes!$B$3,12,31)-DATE(Ajustes!$B$3,1,1),"",DATE(Ajustes!$B$3,1,1)+67)</f>
        <v/>
      </c>
      <c r="B69" s="22">
        <f>IF(A69="","",CHOOSE(WEEKDAY(A69,2),"Lunes","Martes","Miércoles","Jueves","Viernes","Sábado","Domingo"))</f>
        <v/>
      </c>
      <c r="C69" s="23" t="n"/>
      <c r="D69" s="17" t="n"/>
      <c r="E69" s="22">
        <f>IF(A69="","",IF(OR(COUNTIF(Ajustes!$A$11:$A$40,A69)&gt;0,AND(Ajustes!$B$6="Sí",WEEKDAY(A69,2)=7)),"Sí",""))</f>
        <v/>
      </c>
      <c r="F69" s="24">
        <f>IF(E69="Sí",N(C69),0)</f>
        <v/>
      </c>
      <c r="G69" s="22">
        <f>IF(A69="","",MONTH(A69))</f>
        <v/>
      </c>
      <c r="H69" s="21">
        <f>IF(A69="","",A69-WEEKDAY(A69,2)+1)</f>
        <v/>
      </c>
    </row>
    <row r="70">
      <c r="A70" s="21">
        <f>IF(68&gt;DATE(Ajustes!$B$3,12,31)-DATE(Ajustes!$B$3,1,1),"",DATE(Ajustes!$B$3,1,1)+68)</f>
        <v/>
      </c>
      <c r="B70" s="22">
        <f>IF(A70="","",CHOOSE(WEEKDAY(A70,2),"Lunes","Martes","Miércoles","Jueves","Viernes","Sábado","Domingo"))</f>
        <v/>
      </c>
      <c r="C70" s="23" t="n"/>
      <c r="D70" s="17" t="n"/>
      <c r="E70" s="22">
        <f>IF(A70="","",IF(OR(COUNTIF(Ajustes!$A$11:$A$40,A70)&gt;0,AND(Ajustes!$B$6="Sí",WEEKDAY(A70,2)=7)),"Sí",""))</f>
        <v/>
      </c>
      <c r="F70" s="24">
        <f>IF(E70="Sí",N(C70),0)</f>
        <v/>
      </c>
      <c r="G70" s="22">
        <f>IF(A70="","",MONTH(A70))</f>
        <v/>
      </c>
      <c r="H70" s="21">
        <f>IF(A70="","",A70-WEEKDAY(A70,2)+1)</f>
        <v/>
      </c>
    </row>
    <row r="71">
      <c r="A71" s="21">
        <f>IF(69&gt;DATE(Ajustes!$B$3,12,31)-DATE(Ajustes!$B$3,1,1),"",DATE(Ajustes!$B$3,1,1)+69)</f>
        <v/>
      </c>
      <c r="B71" s="22">
        <f>IF(A71="","",CHOOSE(WEEKDAY(A71,2),"Lunes","Martes","Miércoles","Jueves","Viernes","Sábado","Domingo"))</f>
        <v/>
      </c>
      <c r="C71" s="23" t="n"/>
      <c r="D71" s="17" t="n"/>
      <c r="E71" s="22">
        <f>IF(A71="","",IF(OR(COUNTIF(Ajustes!$A$11:$A$40,A71)&gt;0,AND(Ajustes!$B$6="Sí",WEEKDAY(A71,2)=7)),"Sí",""))</f>
        <v/>
      </c>
      <c r="F71" s="24">
        <f>IF(E71="Sí",N(C71),0)</f>
        <v/>
      </c>
      <c r="G71" s="22">
        <f>IF(A71="","",MONTH(A71))</f>
        <v/>
      </c>
      <c r="H71" s="21">
        <f>IF(A71="","",A71-WEEKDAY(A71,2)+1)</f>
        <v/>
      </c>
    </row>
    <row r="72">
      <c r="A72" s="21">
        <f>IF(70&gt;DATE(Ajustes!$B$3,12,31)-DATE(Ajustes!$B$3,1,1),"",DATE(Ajustes!$B$3,1,1)+70)</f>
        <v/>
      </c>
      <c r="B72" s="22">
        <f>IF(A72="","",CHOOSE(WEEKDAY(A72,2),"Lunes","Martes","Miércoles","Jueves","Viernes","Sábado","Domingo"))</f>
        <v/>
      </c>
      <c r="C72" s="23" t="n"/>
      <c r="D72" s="17" t="n"/>
      <c r="E72" s="22">
        <f>IF(A72="","",IF(OR(COUNTIF(Ajustes!$A$11:$A$40,A72)&gt;0,AND(Ajustes!$B$6="Sí",WEEKDAY(A72,2)=7)),"Sí",""))</f>
        <v/>
      </c>
      <c r="F72" s="24">
        <f>IF(E72="Sí",N(C72),0)</f>
        <v/>
      </c>
      <c r="G72" s="22">
        <f>IF(A72="","",MONTH(A72))</f>
        <v/>
      </c>
      <c r="H72" s="21">
        <f>IF(A72="","",A72-WEEKDAY(A72,2)+1)</f>
        <v/>
      </c>
    </row>
    <row r="73">
      <c r="A73" s="21">
        <f>IF(71&gt;DATE(Ajustes!$B$3,12,31)-DATE(Ajustes!$B$3,1,1),"",DATE(Ajustes!$B$3,1,1)+71)</f>
        <v/>
      </c>
      <c r="B73" s="22">
        <f>IF(A73="","",CHOOSE(WEEKDAY(A73,2),"Lunes","Martes","Miércoles","Jueves","Viernes","Sábado","Domingo"))</f>
        <v/>
      </c>
      <c r="C73" s="23" t="n"/>
      <c r="D73" s="17" t="n"/>
      <c r="E73" s="22">
        <f>IF(A73="","",IF(OR(COUNTIF(Ajustes!$A$11:$A$40,A73)&gt;0,AND(Ajustes!$B$6="Sí",WEEKDAY(A73,2)=7)),"Sí",""))</f>
        <v/>
      </c>
      <c r="F73" s="24">
        <f>IF(E73="Sí",N(C73),0)</f>
        <v/>
      </c>
      <c r="G73" s="22">
        <f>IF(A73="","",MONTH(A73))</f>
        <v/>
      </c>
      <c r="H73" s="21">
        <f>IF(A73="","",A73-WEEKDAY(A73,2)+1)</f>
        <v/>
      </c>
    </row>
    <row r="74">
      <c r="A74" s="21">
        <f>IF(72&gt;DATE(Ajustes!$B$3,12,31)-DATE(Ajustes!$B$3,1,1),"",DATE(Ajustes!$B$3,1,1)+72)</f>
        <v/>
      </c>
      <c r="B74" s="22">
        <f>IF(A74="","",CHOOSE(WEEKDAY(A74,2),"Lunes","Martes","Miércoles","Jueves","Viernes","Sábado","Domingo"))</f>
        <v/>
      </c>
      <c r="C74" s="23" t="n"/>
      <c r="D74" s="17" t="n"/>
      <c r="E74" s="22">
        <f>IF(A74="","",IF(OR(COUNTIF(Ajustes!$A$11:$A$40,A74)&gt;0,AND(Ajustes!$B$6="Sí",WEEKDAY(A74,2)=7)),"Sí",""))</f>
        <v/>
      </c>
      <c r="F74" s="24">
        <f>IF(E74="Sí",N(C74),0)</f>
        <v/>
      </c>
      <c r="G74" s="22">
        <f>IF(A74="","",MONTH(A74))</f>
        <v/>
      </c>
      <c r="H74" s="21">
        <f>IF(A74="","",A74-WEEKDAY(A74,2)+1)</f>
        <v/>
      </c>
    </row>
    <row r="75">
      <c r="A75" s="21">
        <f>IF(73&gt;DATE(Ajustes!$B$3,12,31)-DATE(Ajustes!$B$3,1,1),"",DATE(Ajustes!$B$3,1,1)+73)</f>
        <v/>
      </c>
      <c r="B75" s="22">
        <f>IF(A75="","",CHOOSE(WEEKDAY(A75,2),"Lunes","Martes","Miércoles","Jueves","Viernes","Sábado","Domingo"))</f>
        <v/>
      </c>
      <c r="C75" s="23" t="n"/>
      <c r="D75" s="17" t="n"/>
      <c r="E75" s="22">
        <f>IF(A75="","",IF(OR(COUNTIF(Ajustes!$A$11:$A$40,A75)&gt;0,AND(Ajustes!$B$6="Sí",WEEKDAY(A75,2)=7)),"Sí",""))</f>
        <v/>
      </c>
      <c r="F75" s="24">
        <f>IF(E75="Sí",N(C75),0)</f>
        <v/>
      </c>
      <c r="G75" s="22">
        <f>IF(A75="","",MONTH(A75))</f>
        <v/>
      </c>
      <c r="H75" s="21">
        <f>IF(A75="","",A75-WEEKDAY(A75,2)+1)</f>
        <v/>
      </c>
    </row>
    <row r="76">
      <c r="A76" s="21">
        <f>IF(74&gt;DATE(Ajustes!$B$3,12,31)-DATE(Ajustes!$B$3,1,1),"",DATE(Ajustes!$B$3,1,1)+74)</f>
        <v/>
      </c>
      <c r="B76" s="22">
        <f>IF(A76="","",CHOOSE(WEEKDAY(A76,2),"Lunes","Martes","Miércoles","Jueves","Viernes","Sábado","Domingo"))</f>
        <v/>
      </c>
      <c r="C76" s="23" t="n"/>
      <c r="D76" s="17" t="n"/>
      <c r="E76" s="22">
        <f>IF(A76="","",IF(OR(COUNTIF(Ajustes!$A$11:$A$40,A76)&gt;0,AND(Ajustes!$B$6="Sí",WEEKDAY(A76,2)=7)),"Sí",""))</f>
        <v/>
      </c>
      <c r="F76" s="24">
        <f>IF(E76="Sí",N(C76),0)</f>
        <v/>
      </c>
      <c r="G76" s="22">
        <f>IF(A76="","",MONTH(A76))</f>
        <v/>
      </c>
      <c r="H76" s="21">
        <f>IF(A76="","",A76-WEEKDAY(A76,2)+1)</f>
        <v/>
      </c>
    </row>
    <row r="77">
      <c r="A77" s="21">
        <f>IF(75&gt;DATE(Ajustes!$B$3,12,31)-DATE(Ajustes!$B$3,1,1),"",DATE(Ajustes!$B$3,1,1)+75)</f>
        <v/>
      </c>
      <c r="B77" s="22">
        <f>IF(A77="","",CHOOSE(WEEKDAY(A77,2),"Lunes","Martes","Miércoles","Jueves","Viernes","Sábado","Domingo"))</f>
        <v/>
      </c>
      <c r="C77" s="23" t="n"/>
      <c r="D77" s="17" t="n"/>
      <c r="E77" s="22">
        <f>IF(A77="","",IF(OR(COUNTIF(Ajustes!$A$11:$A$40,A77)&gt;0,AND(Ajustes!$B$6="Sí",WEEKDAY(A77,2)=7)),"Sí",""))</f>
        <v/>
      </c>
      <c r="F77" s="24">
        <f>IF(E77="Sí",N(C77),0)</f>
        <v/>
      </c>
      <c r="G77" s="22">
        <f>IF(A77="","",MONTH(A77))</f>
        <v/>
      </c>
      <c r="H77" s="21">
        <f>IF(A77="","",A77-WEEKDAY(A77,2)+1)</f>
        <v/>
      </c>
    </row>
    <row r="78">
      <c r="A78" s="21">
        <f>IF(76&gt;DATE(Ajustes!$B$3,12,31)-DATE(Ajustes!$B$3,1,1),"",DATE(Ajustes!$B$3,1,1)+76)</f>
        <v/>
      </c>
      <c r="B78" s="22">
        <f>IF(A78="","",CHOOSE(WEEKDAY(A78,2),"Lunes","Martes","Miércoles","Jueves","Viernes","Sábado","Domingo"))</f>
        <v/>
      </c>
      <c r="C78" s="23" t="n"/>
      <c r="D78" s="17" t="n"/>
      <c r="E78" s="22">
        <f>IF(A78="","",IF(OR(COUNTIF(Ajustes!$A$11:$A$40,A78)&gt;0,AND(Ajustes!$B$6="Sí",WEEKDAY(A78,2)=7)),"Sí",""))</f>
        <v/>
      </c>
      <c r="F78" s="24">
        <f>IF(E78="Sí",N(C78),0)</f>
        <v/>
      </c>
      <c r="G78" s="22">
        <f>IF(A78="","",MONTH(A78))</f>
        <v/>
      </c>
      <c r="H78" s="21">
        <f>IF(A78="","",A78-WEEKDAY(A78,2)+1)</f>
        <v/>
      </c>
    </row>
    <row r="79">
      <c r="A79" s="21">
        <f>IF(77&gt;DATE(Ajustes!$B$3,12,31)-DATE(Ajustes!$B$3,1,1),"",DATE(Ajustes!$B$3,1,1)+77)</f>
        <v/>
      </c>
      <c r="B79" s="22">
        <f>IF(A79="","",CHOOSE(WEEKDAY(A79,2),"Lunes","Martes","Miércoles","Jueves","Viernes","Sábado","Domingo"))</f>
        <v/>
      </c>
      <c r="C79" s="23" t="n"/>
      <c r="D79" s="17" t="n"/>
      <c r="E79" s="22">
        <f>IF(A79="","",IF(OR(COUNTIF(Ajustes!$A$11:$A$40,A79)&gt;0,AND(Ajustes!$B$6="Sí",WEEKDAY(A79,2)=7)),"Sí",""))</f>
        <v/>
      </c>
      <c r="F79" s="24">
        <f>IF(E79="Sí",N(C79),0)</f>
        <v/>
      </c>
      <c r="G79" s="22">
        <f>IF(A79="","",MONTH(A79))</f>
        <v/>
      </c>
      <c r="H79" s="21">
        <f>IF(A79="","",A79-WEEKDAY(A79,2)+1)</f>
        <v/>
      </c>
    </row>
    <row r="80">
      <c r="A80" s="21">
        <f>IF(78&gt;DATE(Ajustes!$B$3,12,31)-DATE(Ajustes!$B$3,1,1),"",DATE(Ajustes!$B$3,1,1)+78)</f>
        <v/>
      </c>
      <c r="B80" s="22">
        <f>IF(A80="","",CHOOSE(WEEKDAY(A80,2),"Lunes","Martes","Miércoles","Jueves","Viernes","Sábado","Domingo"))</f>
        <v/>
      </c>
      <c r="C80" s="23" t="n"/>
      <c r="D80" s="17" t="n"/>
      <c r="E80" s="22">
        <f>IF(A80="","",IF(OR(COUNTIF(Ajustes!$A$11:$A$40,A80)&gt;0,AND(Ajustes!$B$6="Sí",WEEKDAY(A80,2)=7)),"Sí",""))</f>
        <v/>
      </c>
      <c r="F80" s="24">
        <f>IF(E80="Sí",N(C80),0)</f>
        <v/>
      </c>
      <c r="G80" s="22">
        <f>IF(A80="","",MONTH(A80))</f>
        <v/>
      </c>
      <c r="H80" s="21">
        <f>IF(A80="","",A80-WEEKDAY(A80,2)+1)</f>
        <v/>
      </c>
    </row>
    <row r="81">
      <c r="A81" s="21">
        <f>IF(79&gt;DATE(Ajustes!$B$3,12,31)-DATE(Ajustes!$B$3,1,1),"",DATE(Ajustes!$B$3,1,1)+79)</f>
        <v/>
      </c>
      <c r="B81" s="22">
        <f>IF(A81="","",CHOOSE(WEEKDAY(A81,2),"Lunes","Martes","Miércoles","Jueves","Viernes","Sábado","Domingo"))</f>
        <v/>
      </c>
      <c r="C81" s="23" t="n"/>
      <c r="D81" s="17" t="n"/>
      <c r="E81" s="22">
        <f>IF(A81="","",IF(OR(COUNTIF(Ajustes!$A$11:$A$40,A81)&gt;0,AND(Ajustes!$B$6="Sí",WEEKDAY(A81,2)=7)),"Sí",""))</f>
        <v/>
      </c>
      <c r="F81" s="24">
        <f>IF(E81="Sí",N(C81),0)</f>
        <v/>
      </c>
      <c r="G81" s="22">
        <f>IF(A81="","",MONTH(A81))</f>
        <v/>
      </c>
      <c r="H81" s="21">
        <f>IF(A81="","",A81-WEEKDAY(A81,2)+1)</f>
        <v/>
      </c>
    </row>
    <row r="82">
      <c r="A82" s="21">
        <f>IF(80&gt;DATE(Ajustes!$B$3,12,31)-DATE(Ajustes!$B$3,1,1),"",DATE(Ajustes!$B$3,1,1)+80)</f>
        <v/>
      </c>
      <c r="B82" s="22">
        <f>IF(A82="","",CHOOSE(WEEKDAY(A82,2),"Lunes","Martes","Miércoles","Jueves","Viernes","Sábado","Domingo"))</f>
        <v/>
      </c>
      <c r="C82" s="23" t="n"/>
      <c r="D82" s="17" t="n"/>
      <c r="E82" s="22">
        <f>IF(A82="","",IF(OR(COUNTIF(Ajustes!$A$11:$A$40,A82)&gt;0,AND(Ajustes!$B$6="Sí",WEEKDAY(A82,2)=7)),"Sí",""))</f>
        <v/>
      </c>
      <c r="F82" s="24">
        <f>IF(E82="Sí",N(C82),0)</f>
        <v/>
      </c>
      <c r="G82" s="22">
        <f>IF(A82="","",MONTH(A82))</f>
        <v/>
      </c>
      <c r="H82" s="21">
        <f>IF(A82="","",A82-WEEKDAY(A82,2)+1)</f>
        <v/>
      </c>
    </row>
    <row r="83">
      <c r="A83" s="21">
        <f>IF(81&gt;DATE(Ajustes!$B$3,12,31)-DATE(Ajustes!$B$3,1,1),"",DATE(Ajustes!$B$3,1,1)+81)</f>
        <v/>
      </c>
      <c r="B83" s="22">
        <f>IF(A83="","",CHOOSE(WEEKDAY(A83,2),"Lunes","Martes","Miércoles","Jueves","Viernes","Sábado","Domingo"))</f>
        <v/>
      </c>
      <c r="C83" s="23" t="n"/>
      <c r="D83" s="17" t="n"/>
      <c r="E83" s="22">
        <f>IF(A83="","",IF(OR(COUNTIF(Ajustes!$A$11:$A$40,A83)&gt;0,AND(Ajustes!$B$6="Sí",WEEKDAY(A83,2)=7)),"Sí",""))</f>
        <v/>
      </c>
      <c r="F83" s="24">
        <f>IF(E83="Sí",N(C83),0)</f>
        <v/>
      </c>
      <c r="G83" s="22">
        <f>IF(A83="","",MONTH(A83))</f>
        <v/>
      </c>
      <c r="H83" s="21">
        <f>IF(A83="","",A83-WEEKDAY(A83,2)+1)</f>
        <v/>
      </c>
    </row>
    <row r="84">
      <c r="A84" s="21">
        <f>IF(82&gt;DATE(Ajustes!$B$3,12,31)-DATE(Ajustes!$B$3,1,1),"",DATE(Ajustes!$B$3,1,1)+82)</f>
        <v/>
      </c>
      <c r="B84" s="22">
        <f>IF(A84="","",CHOOSE(WEEKDAY(A84,2),"Lunes","Martes","Miércoles","Jueves","Viernes","Sábado","Domingo"))</f>
        <v/>
      </c>
      <c r="C84" s="23" t="n"/>
      <c r="D84" s="17" t="n"/>
      <c r="E84" s="22">
        <f>IF(A84="","",IF(OR(COUNTIF(Ajustes!$A$11:$A$40,A84)&gt;0,AND(Ajustes!$B$6="Sí",WEEKDAY(A84,2)=7)),"Sí",""))</f>
        <v/>
      </c>
      <c r="F84" s="24">
        <f>IF(E84="Sí",N(C84),0)</f>
        <v/>
      </c>
      <c r="G84" s="22">
        <f>IF(A84="","",MONTH(A84))</f>
        <v/>
      </c>
      <c r="H84" s="21">
        <f>IF(A84="","",A84-WEEKDAY(A84,2)+1)</f>
        <v/>
      </c>
    </row>
    <row r="85">
      <c r="A85" s="21">
        <f>IF(83&gt;DATE(Ajustes!$B$3,12,31)-DATE(Ajustes!$B$3,1,1),"",DATE(Ajustes!$B$3,1,1)+83)</f>
        <v/>
      </c>
      <c r="B85" s="22">
        <f>IF(A85="","",CHOOSE(WEEKDAY(A85,2),"Lunes","Martes","Miércoles","Jueves","Viernes","Sábado","Domingo"))</f>
        <v/>
      </c>
      <c r="C85" s="23" t="n"/>
      <c r="D85" s="17" t="n"/>
      <c r="E85" s="22">
        <f>IF(A85="","",IF(OR(COUNTIF(Ajustes!$A$11:$A$40,A85)&gt;0,AND(Ajustes!$B$6="Sí",WEEKDAY(A85,2)=7)),"Sí",""))</f>
        <v/>
      </c>
      <c r="F85" s="24">
        <f>IF(E85="Sí",N(C85),0)</f>
        <v/>
      </c>
      <c r="G85" s="22">
        <f>IF(A85="","",MONTH(A85))</f>
        <v/>
      </c>
      <c r="H85" s="21">
        <f>IF(A85="","",A85-WEEKDAY(A85,2)+1)</f>
        <v/>
      </c>
    </row>
    <row r="86">
      <c r="A86" s="21">
        <f>IF(84&gt;DATE(Ajustes!$B$3,12,31)-DATE(Ajustes!$B$3,1,1),"",DATE(Ajustes!$B$3,1,1)+84)</f>
        <v/>
      </c>
      <c r="B86" s="22">
        <f>IF(A86="","",CHOOSE(WEEKDAY(A86,2),"Lunes","Martes","Miércoles","Jueves","Viernes","Sábado","Domingo"))</f>
        <v/>
      </c>
      <c r="C86" s="23" t="n"/>
      <c r="D86" s="17" t="n"/>
      <c r="E86" s="22">
        <f>IF(A86="","",IF(OR(COUNTIF(Ajustes!$A$11:$A$40,A86)&gt;0,AND(Ajustes!$B$6="Sí",WEEKDAY(A86,2)=7)),"Sí",""))</f>
        <v/>
      </c>
      <c r="F86" s="24">
        <f>IF(E86="Sí",N(C86),0)</f>
        <v/>
      </c>
      <c r="G86" s="22">
        <f>IF(A86="","",MONTH(A86))</f>
        <v/>
      </c>
      <c r="H86" s="21">
        <f>IF(A86="","",A86-WEEKDAY(A86,2)+1)</f>
        <v/>
      </c>
    </row>
    <row r="87">
      <c r="A87" s="21">
        <f>IF(85&gt;DATE(Ajustes!$B$3,12,31)-DATE(Ajustes!$B$3,1,1),"",DATE(Ajustes!$B$3,1,1)+85)</f>
        <v/>
      </c>
      <c r="B87" s="22">
        <f>IF(A87="","",CHOOSE(WEEKDAY(A87,2),"Lunes","Martes","Miércoles","Jueves","Viernes","Sábado","Domingo"))</f>
        <v/>
      </c>
      <c r="C87" s="23" t="n"/>
      <c r="D87" s="17" t="n"/>
      <c r="E87" s="22">
        <f>IF(A87="","",IF(OR(COUNTIF(Ajustes!$A$11:$A$40,A87)&gt;0,AND(Ajustes!$B$6="Sí",WEEKDAY(A87,2)=7)),"Sí",""))</f>
        <v/>
      </c>
      <c r="F87" s="24">
        <f>IF(E87="Sí",N(C87),0)</f>
        <v/>
      </c>
      <c r="G87" s="22">
        <f>IF(A87="","",MONTH(A87))</f>
        <v/>
      </c>
      <c r="H87" s="21">
        <f>IF(A87="","",A87-WEEKDAY(A87,2)+1)</f>
        <v/>
      </c>
    </row>
    <row r="88">
      <c r="A88" s="21">
        <f>IF(86&gt;DATE(Ajustes!$B$3,12,31)-DATE(Ajustes!$B$3,1,1),"",DATE(Ajustes!$B$3,1,1)+86)</f>
        <v/>
      </c>
      <c r="B88" s="22">
        <f>IF(A88="","",CHOOSE(WEEKDAY(A88,2),"Lunes","Martes","Miércoles","Jueves","Viernes","Sábado","Domingo"))</f>
        <v/>
      </c>
      <c r="C88" s="23" t="n"/>
      <c r="D88" s="17" t="n"/>
      <c r="E88" s="22">
        <f>IF(A88="","",IF(OR(COUNTIF(Ajustes!$A$11:$A$40,A88)&gt;0,AND(Ajustes!$B$6="Sí",WEEKDAY(A88,2)=7)),"Sí",""))</f>
        <v/>
      </c>
      <c r="F88" s="24">
        <f>IF(E88="Sí",N(C88),0)</f>
        <v/>
      </c>
      <c r="G88" s="22">
        <f>IF(A88="","",MONTH(A88))</f>
        <v/>
      </c>
      <c r="H88" s="21">
        <f>IF(A88="","",A88-WEEKDAY(A88,2)+1)</f>
        <v/>
      </c>
    </row>
    <row r="89">
      <c r="A89" s="21">
        <f>IF(87&gt;DATE(Ajustes!$B$3,12,31)-DATE(Ajustes!$B$3,1,1),"",DATE(Ajustes!$B$3,1,1)+87)</f>
        <v/>
      </c>
      <c r="B89" s="22">
        <f>IF(A89="","",CHOOSE(WEEKDAY(A89,2),"Lunes","Martes","Miércoles","Jueves","Viernes","Sábado","Domingo"))</f>
        <v/>
      </c>
      <c r="C89" s="23" t="n"/>
      <c r="D89" s="17" t="n"/>
      <c r="E89" s="22">
        <f>IF(A89="","",IF(OR(COUNTIF(Ajustes!$A$11:$A$40,A89)&gt;0,AND(Ajustes!$B$6="Sí",WEEKDAY(A89,2)=7)),"Sí",""))</f>
        <v/>
      </c>
      <c r="F89" s="24">
        <f>IF(E89="Sí",N(C89),0)</f>
        <v/>
      </c>
      <c r="G89" s="22">
        <f>IF(A89="","",MONTH(A89))</f>
        <v/>
      </c>
      <c r="H89" s="21">
        <f>IF(A89="","",A89-WEEKDAY(A89,2)+1)</f>
        <v/>
      </c>
    </row>
    <row r="90">
      <c r="A90" s="21">
        <f>IF(88&gt;DATE(Ajustes!$B$3,12,31)-DATE(Ajustes!$B$3,1,1),"",DATE(Ajustes!$B$3,1,1)+88)</f>
        <v/>
      </c>
      <c r="B90" s="22">
        <f>IF(A90="","",CHOOSE(WEEKDAY(A90,2),"Lunes","Martes","Miércoles","Jueves","Viernes","Sábado","Domingo"))</f>
        <v/>
      </c>
      <c r="C90" s="23" t="n"/>
      <c r="D90" s="17" t="n"/>
      <c r="E90" s="22">
        <f>IF(A90="","",IF(OR(COUNTIF(Ajustes!$A$11:$A$40,A90)&gt;0,AND(Ajustes!$B$6="Sí",WEEKDAY(A90,2)=7)),"Sí",""))</f>
        <v/>
      </c>
      <c r="F90" s="24">
        <f>IF(E90="Sí",N(C90),0)</f>
        <v/>
      </c>
      <c r="G90" s="22">
        <f>IF(A90="","",MONTH(A90))</f>
        <v/>
      </c>
      <c r="H90" s="21">
        <f>IF(A90="","",A90-WEEKDAY(A90,2)+1)</f>
        <v/>
      </c>
    </row>
    <row r="91">
      <c r="A91" s="21">
        <f>IF(89&gt;DATE(Ajustes!$B$3,12,31)-DATE(Ajustes!$B$3,1,1),"",DATE(Ajustes!$B$3,1,1)+89)</f>
        <v/>
      </c>
      <c r="B91" s="22">
        <f>IF(A91="","",CHOOSE(WEEKDAY(A91,2),"Lunes","Martes","Miércoles","Jueves","Viernes","Sábado","Domingo"))</f>
        <v/>
      </c>
      <c r="C91" s="23" t="n"/>
      <c r="D91" s="17" t="n"/>
      <c r="E91" s="22">
        <f>IF(A91="","",IF(OR(COUNTIF(Ajustes!$A$11:$A$40,A91)&gt;0,AND(Ajustes!$B$6="Sí",WEEKDAY(A91,2)=7)),"Sí",""))</f>
        <v/>
      </c>
      <c r="F91" s="24">
        <f>IF(E91="Sí",N(C91),0)</f>
        <v/>
      </c>
      <c r="G91" s="22">
        <f>IF(A91="","",MONTH(A91))</f>
        <v/>
      </c>
      <c r="H91" s="21">
        <f>IF(A91="","",A91-WEEKDAY(A91,2)+1)</f>
        <v/>
      </c>
    </row>
    <row r="92">
      <c r="A92" s="21">
        <f>IF(90&gt;DATE(Ajustes!$B$3,12,31)-DATE(Ajustes!$B$3,1,1),"",DATE(Ajustes!$B$3,1,1)+90)</f>
        <v/>
      </c>
      <c r="B92" s="22">
        <f>IF(A92="","",CHOOSE(WEEKDAY(A92,2),"Lunes","Martes","Miércoles","Jueves","Viernes","Sábado","Domingo"))</f>
        <v/>
      </c>
      <c r="C92" s="23" t="n"/>
      <c r="D92" s="17" t="n"/>
      <c r="E92" s="22">
        <f>IF(A92="","",IF(OR(COUNTIF(Ajustes!$A$11:$A$40,A92)&gt;0,AND(Ajustes!$B$6="Sí",WEEKDAY(A92,2)=7)),"Sí",""))</f>
        <v/>
      </c>
      <c r="F92" s="24">
        <f>IF(E92="Sí",N(C92),0)</f>
        <v/>
      </c>
      <c r="G92" s="22">
        <f>IF(A92="","",MONTH(A92))</f>
        <v/>
      </c>
      <c r="H92" s="21">
        <f>IF(A92="","",A92-WEEKDAY(A92,2)+1)</f>
        <v/>
      </c>
    </row>
    <row r="93">
      <c r="A93" s="21">
        <f>IF(91&gt;DATE(Ajustes!$B$3,12,31)-DATE(Ajustes!$B$3,1,1),"",DATE(Ajustes!$B$3,1,1)+91)</f>
        <v/>
      </c>
      <c r="B93" s="22">
        <f>IF(A93="","",CHOOSE(WEEKDAY(A93,2),"Lunes","Martes","Miércoles","Jueves","Viernes","Sábado","Domingo"))</f>
        <v/>
      </c>
      <c r="C93" s="23" t="n"/>
      <c r="D93" s="17" t="n"/>
      <c r="E93" s="22">
        <f>IF(A93="","",IF(OR(COUNTIF(Ajustes!$A$11:$A$40,A93)&gt;0,AND(Ajustes!$B$6="Sí",WEEKDAY(A93,2)=7)),"Sí",""))</f>
        <v/>
      </c>
      <c r="F93" s="24">
        <f>IF(E93="Sí",N(C93),0)</f>
        <v/>
      </c>
      <c r="G93" s="22">
        <f>IF(A93="","",MONTH(A93))</f>
        <v/>
      </c>
      <c r="H93" s="21">
        <f>IF(A93="","",A93-WEEKDAY(A93,2)+1)</f>
        <v/>
      </c>
    </row>
    <row r="94">
      <c r="A94" s="21">
        <f>IF(92&gt;DATE(Ajustes!$B$3,12,31)-DATE(Ajustes!$B$3,1,1),"",DATE(Ajustes!$B$3,1,1)+92)</f>
        <v/>
      </c>
      <c r="B94" s="22">
        <f>IF(A94="","",CHOOSE(WEEKDAY(A94,2),"Lunes","Martes","Miércoles","Jueves","Viernes","Sábado","Domingo"))</f>
        <v/>
      </c>
      <c r="C94" s="23" t="n"/>
      <c r="D94" s="17" t="n"/>
      <c r="E94" s="22">
        <f>IF(A94="","",IF(OR(COUNTIF(Ajustes!$A$11:$A$40,A94)&gt;0,AND(Ajustes!$B$6="Sí",WEEKDAY(A94,2)=7)),"Sí",""))</f>
        <v/>
      </c>
      <c r="F94" s="24">
        <f>IF(E94="Sí",N(C94),0)</f>
        <v/>
      </c>
      <c r="G94" s="22">
        <f>IF(A94="","",MONTH(A94))</f>
        <v/>
      </c>
      <c r="H94" s="21">
        <f>IF(A94="","",A94-WEEKDAY(A94,2)+1)</f>
        <v/>
      </c>
    </row>
    <row r="95">
      <c r="A95" s="21">
        <f>IF(93&gt;DATE(Ajustes!$B$3,12,31)-DATE(Ajustes!$B$3,1,1),"",DATE(Ajustes!$B$3,1,1)+93)</f>
        <v/>
      </c>
      <c r="B95" s="22">
        <f>IF(A95="","",CHOOSE(WEEKDAY(A95,2),"Lunes","Martes","Miércoles","Jueves","Viernes","Sábado","Domingo"))</f>
        <v/>
      </c>
      <c r="C95" s="23" t="n"/>
      <c r="D95" s="17" t="n"/>
      <c r="E95" s="22">
        <f>IF(A95="","",IF(OR(COUNTIF(Ajustes!$A$11:$A$40,A95)&gt;0,AND(Ajustes!$B$6="Sí",WEEKDAY(A95,2)=7)),"Sí",""))</f>
        <v/>
      </c>
      <c r="F95" s="24">
        <f>IF(E95="Sí",N(C95),0)</f>
        <v/>
      </c>
      <c r="G95" s="22">
        <f>IF(A95="","",MONTH(A95))</f>
        <v/>
      </c>
      <c r="H95" s="21">
        <f>IF(A95="","",A95-WEEKDAY(A95,2)+1)</f>
        <v/>
      </c>
    </row>
    <row r="96">
      <c r="A96" s="21">
        <f>IF(94&gt;DATE(Ajustes!$B$3,12,31)-DATE(Ajustes!$B$3,1,1),"",DATE(Ajustes!$B$3,1,1)+94)</f>
        <v/>
      </c>
      <c r="B96" s="22">
        <f>IF(A96="","",CHOOSE(WEEKDAY(A96,2),"Lunes","Martes","Miércoles","Jueves","Viernes","Sábado","Domingo"))</f>
        <v/>
      </c>
      <c r="C96" s="23" t="n"/>
      <c r="D96" s="17" t="n"/>
      <c r="E96" s="22">
        <f>IF(A96="","",IF(OR(COUNTIF(Ajustes!$A$11:$A$40,A96)&gt;0,AND(Ajustes!$B$6="Sí",WEEKDAY(A96,2)=7)),"Sí",""))</f>
        <v/>
      </c>
      <c r="F96" s="24">
        <f>IF(E96="Sí",N(C96),0)</f>
        <v/>
      </c>
      <c r="G96" s="22">
        <f>IF(A96="","",MONTH(A96))</f>
        <v/>
      </c>
      <c r="H96" s="21">
        <f>IF(A96="","",A96-WEEKDAY(A96,2)+1)</f>
        <v/>
      </c>
    </row>
    <row r="97">
      <c r="A97" s="21">
        <f>IF(95&gt;DATE(Ajustes!$B$3,12,31)-DATE(Ajustes!$B$3,1,1),"",DATE(Ajustes!$B$3,1,1)+95)</f>
        <v/>
      </c>
      <c r="B97" s="22">
        <f>IF(A97="","",CHOOSE(WEEKDAY(A97,2),"Lunes","Martes","Miércoles","Jueves","Viernes","Sábado","Domingo"))</f>
        <v/>
      </c>
      <c r="C97" s="23" t="n"/>
      <c r="D97" s="17" t="n"/>
      <c r="E97" s="22">
        <f>IF(A97="","",IF(OR(COUNTIF(Ajustes!$A$11:$A$40,A97)&gt;0,AND(Ajustes!$B$6="Sí",WEEKDAY(A97,2)=7)),"Sí",""))</f>
        <v/>
      </c>
      <c r="F97" s="24">
        <f>IF(E97="Sí",N(C97),0)</f>
        <v/>
      </c>
      <c r="G97" s="22">
        <f>IF(A97="","",MONTH(A97))</f>
        <v/>
      </c>
      <c r="H97" s="21">
        <f>IF(A97="","",A97-WEEKDAY(A97,2)+1)</f>
        <v/>
      </c>
    </row>
    <row r="98">
      <c r="A98" s="21">
        <f>IF(96&gt;DATE(Ajustes!$B$3,12,31)-DATE(Ajustes!$B$3,1,1),"",DATE(Ajustes!$B$3,1,1)+96)</f>
        <v/>
      </c>
      <c r="B98" s="22">
        <f>IF(A98="","",CHOOSE(WEEKDAY(A98,2),"Lunes","Martes","Miércoles","Jueves","Viernes","Sábado","Domingo"))</f>
        <v/>
      </c>
      <c r="C98" s="23" t="n"/>
      <c r="D98" s="17" t="n"/>
      <c r="E98" s="22">
        <f>IF(A98="","",IF(OR(COUNTIF(Ajustes!$A$11:$A$40,A98)&gt;0,AND(Ajustes!$B$6="Sí",WEEKDAY(A98,2)=7)),"Sí",""))</f>
        <v/>
      </c>
      <c r="F98" s="24">
        <f>IF(E98="Sí",N(C98),0)</f>
        <v/>
      </c>
      <c r="G98" s="22">
        <f>IF(A98="","",MONTH(A98))</f>
        <v/>
      </c>
      <c r="H98" s="21">
        <f>IF(A98="","",A98-WEEKDAY(A98,2)+1)</f>
        <v/>
      </c>
    </row>
    <row r="99">
      <c r="A99" s="21">
        <f>IF(97&gt;DATE(Ajustes!$B$3,12,31)-DATE(Ajustes!$B$3,1,1),"",DATE(Ajustes!$B$3,1,1)+97)</f>
        <v/>
      </c>
      <c r="B99" s="22">
        <f>IF(A99="","",CHOOSE(WEEKDAY(A99,2),"Lunes","Martes","Miércoles","Jueves","Viernes","Sábado","Domingo"))</f>
        <v/>
      </c>
      <c r="C99" s="23" t="n"/>
      <c r="D99" s="17" t="n"/>
      <c r="E99" s="22">
        <f>IF(A99="","",IF(OR(COUNTIF(Ajustes!$A$11:$A$40,A99)&gt;0,AND(Ajustes!$B$6="Sí",WEEKDAY(A99,2)=7)),"Sí",""))</f>
        <v/>
      </c>
      <c r="F99" s="24">
        <f>IF(E99="Sí",N(C99),0)</f>
        <v/>
      </c>
      <c r="G99" s="22">
        <f>IF(A99="","",MONTH(A99))</f>
        <v/>
      </c>
      <c r="H99" s="21">
        <f>IF(A99="","",A99-WEEKDAY(A99,2)+1)</f>
        <v/>
      </c>
    </row>
    <row r="100">
      <c r="A100" s="21">
        <f>IF(98&gt;DATE(Ajustes!$B$3,12,31)-DATE(Ajustes!$B$3,1,1),"",DATE(Ajustes!$B$3,1,1)+98)</f>
        <v/>
      </c>
      <c r="B100" s="22">
        <f>IF(A100="","",CHOOSE(WEEKDAY(A100,2),"Lunes","Martes","Miércoles","Jueves","Viernes","Sábado","Domingo"))</f>
        <v/>
      </c>
      <c r="C100" s="23" t="n"/>
      <c r="D100" s="17" t="n"/>
      <c r="E100" s="22">
        <f>IF(A100="","",IF(OR(COUNTIF(Ajustes!$A$11:$A$40,A100)&gt;0,AND(Ajustes!$B$6="Sí",WEEKDAY(A100,2)=7)),"Sí",""))</f>
        <v/>
      </c>
      <c r="F100" s="24">
        <f>IF(E100="Sí",N(C100),0)</f>
        <v/>
      </c>
      <c r="G100" s="22">
        <f>IF(A100="","",MONTH(A100))</f>
        <v/>
      </c>
      <c r="H100" s="21">
        <f>IF(A100="","",A100-WEEKDAY(A100,2)+1)</f>
        <v/>
      </c>
    </row>
    <row r="101">
      <c r="A101" s="21">
        <f>IF(99&gt;DATE(Ajustes!$B$3,12,31)-DATE(Ajustes!$B$3,1,1),"",DATE(Ajustes!$B$3,1,1)+99)</f>
        <v/>
      </c>
      <c r="B101" s="22">
        <f>IF(A101="","",CHOOSE(WEEKDAY(A101,2),"Lunes","Martes","Miércoles","Jueves","Viernes","Sábado","Domingo"))</f>
        <v/>
      </c>
      <c r="C101" s="23" t="n"/>
      <c r="D101" s="17" t="n"/>
      <c r="E101" s="22">
        <f>IF(A101="","",IF(OR(COUNTIF(Ajustes!$A$11:$A$40,A101)&gt;0,AND(Ajustes!$B$6="Sí",WEEKDAY(A101,2)=7)),"Sí",""))</f>
        <v/>
      </c>
      <c r="F101" s="24">
        <f>IF(E101="Sí",N(C101),0)</f>
        <v/>
      </c>
      <c r="G101" s="22">
        <f>IF(A101="","",MONTH(A101))</f>
        <v/>
      </c>
      <c r="H101" s="21">
        <f>IF(A101="","",A101-WEEKDAY(A101,2)+1)</f>
        <v/>
      </c>
    </row>
    <row r="102">
      <c r="A102" s="21">
        <f>IF(100&gt;DATE(Ajustes!$B$3,12,31)-DATE(Ajustes!$B$3,1,1),"",DATE(Ajustes!$B$3,1,1)+100)</f>
        <v/>
      </c>
      <c r="B102" s="22">
        <f>IF(A102="","",CHOOSE(WEEKDAY(A102,2),"Lunes","Martes","Miércoles","Jueves","Viernes","Sábado","Domingo"))</f>
        <v/>
      </c>
      <c r="C102" s="23" t="n"/>
      <c r="D102" s="17" t="n"/>
      <c r="E102" s="22">
        <f>IF(A102="","",IF(OR(COUNTIF(Ajustes!$A$11:$A$40,A102)&gt;0,AND(Ajustes!$B$6="Sí",WEEKDAY(A102,2)=7)),"Sí",""))</f>
        <v/>
      </c>
      <c r="F102" s="24">
        <f>IF(E102="Sí",N(C102),0)</f>
        <v/>
      </c>
      <c r="G102" s="22">
        <f>IF(A102="","",MONTH(A102))</f>
        <v/>
      </c>
      <c r="H102" s="21">
        <f>IF(A102="","",A102-WEEKDAY(A102,2)+1)</f>
        <v/>
      </c>
    </row>
    <row r="103">
      <c r="A103" s="21">
        <f>IF(101&gt;DATE(Ajustes!$B$3,12,31)-DATE(Ajustes!$B$3,1,1),"",DATE(Ajustes!$B$3,1,1)+101)</f>
        <v/>
      </c>
      <c r="B103" s="22">
        <f>IF(A103="","",CHOOSE(WEEKDAY(A103,2),"Lunes","Martes","Miércoles","Jueves","Viernes","Sábado","Domingo"))</f>
        <v/>
      </c>
      <c r="C103" s="23" t="n"/>
      <c r="D103" s="17" t="n"/>
      <c r="E103" s="22">
        <f>IF(A103="","",IF(OR(COUNTIF(Ajustes!$A$11:$A$40,A103)&gt;0,AND(Ajustes!$B$6="Sí",WEEKDAY(A103,2)=7)),"Sí",""))</f>
        <v/>
      </c>
      <c r="F103" s="24">
        <f>IF(E103="Sí",N(C103),0)</f>
        <v/>
      </c>
      <c r="G103" s="22">
        <f>IF(A103="","",MONTH(A103))</f>
        <v/>
      </c>
      <c r="H103" s="21">
        <f>IF(A103="","",A103-WEEKDAY(A103,2)+1)</f>
        <v/>
      </c>
    </row>
    <row r="104">
      <c r="A104" s="21">
        <f>IF(102&gt;DATE(Ajustes!$B$3,12,31)-DATE(Ajustes!$B$3,1,1),"",DATE(Ajustes!$B$3,1,1)+102)</f>
        <v/>
      </c>
      <c r="B104" s="22">
        <f>IF(A104="","",CHOOSE(WEEKDAY(A104,2),"Lunes","Martes","Miércoles","Jueves","Viernes","Sábado","Domingo"))</f>
        <v/>
      </c>
      <c r="C104" s="23" t="n"/>
      <c r="D104" s="17" t="n"/>
      <c r="E104" s="22">
        <f>IF(A104="","",IF(OR(COUNTIF(Ajustes!$A$11:$A$40,A104)&gt;0,AND(Ajustes!$B$6="Sí",WEEKDAY(A104,2)=7)),"Sí",""))</f>
        <v/>
      </c>
      <c r="F104" s="24">
        <f>IF(E104="Sí",N(C104),0)</f>
        <v/>
      </c>
      <c r="G104" s="22">
        <f>IF(A104="","",MONTH(A104))</f>
        <v/>
      </c>
      <c r="H104" s="21">
        <f>IF(A104="","",A104-WEEKDAY(A104,2)+1)</f>
        <v/>
      </c>
    </row>
    <row r="105">
      <c r="A105" s="21">
        <f>IF(103&gt;DATE(Ajustes!$B$3,12,31)-DATE(Ajustes!$B$3,1,1),"",DATE(Ajustes!$B$3,1,1)+103)</f>
        <v/>
      </c>
      <c r="B105" s="22">
        <f>IF(A105="","",CHOOSE(WEEKDAY(A105,2),"Lunes","Martes","Miércoles","Jueves","Viernes","Sábado","Domingo"))</f>
        <v/>
      </c>
      <c r="C105" s="23" t="n"/>
      <c r="D105" s="17" t="n"/>
      <c r="E105" s="22">
        <f>IF(A105="","",IF(OR(COUNTIF(Ajustes!$A$11:$A$40,A105)&gt;0,AND(Ajustes!$B$6="Sí",WEEKDAY(A105,2)=7)),"Sí",""))</f>
        <v/>
      </c>
      <c r="F105" s="24">
        <f>IF(E105="Sí",N(C105),0)</f>
        <v/>
      </c>
      <c r="G105" s="22">
        <f>IF(A105="","",MONTH(A105))</f>
        <v/>
      </c>
      <c r="H105" s="21">
        <f>IF(A105="","",A105-WEEKDAY(A105,2)+1)</f>
        <v/>
      </c>
    </row>
    <row r="106">
      <c r="A106" s="21">
        <f>IF(104&gt;DATE(Ajustes!$B$3,12,31)-DATE(Ajustes!$B$3,1,1),"",DATE(Ajustes!$B$3,1,1)+104)</f>
        <v/>
      </c>
      <c r="B106" s="22">
        <f>IF(A106="","",CHOOSE(WEEKDAY(A106,2),"Lunes","Martes","Miércoles","Jueves","Viernes","Sábado","Domingo"))</f>
        <v/>
      </c>
      <c r="C106" s="23" t="n"/>
      <c r="D106" s="17" t="n"/>
      <c r="E106" s="22">
        <f>IF(A106="","",IF(OR(COUNTIF(Ajustes!$A$11:$A$40,A106)&gt;0,AND(Ajustes!$B$6="Sí",WEEKDAY(A106,2)=7)),"Sí",""))</f>
        <v/>
      </c>
      <c r="F106" s="24">
        <f>IF(E106="Sí",N(C106),0)</f>
        <v/>
      </c>
      <c r="G106" s="22">
        <f>IF(A106="","",MONTH(A106))</f>
        <v/>
      </c>
      <c r="H106" s="21">
        <f>IF(A106="","",A106-WEEKDAY(A106,2)+1)</f>
        <v/>
      </c>
    </row>
    <row r="107">
      <c r="A107" s="21">
        <f>IF(105&gt;DATE(Ajustes!$B$3,12,31)-DATE(Ajustes!$B$3,1,1),"",DATE(Ajustes!$B$3,1,1)+105)</f>
        <v/>
      </c>
      <c r="B107" s="22">
        <f>IF(A107="","",CHOOSE(WEEKDAY(A107,2),"Lunes","Martes","Miércoles","Jueves","Viernes","Sábado","Domingo"))</f>
        <v/>
      </c>
      <c r="C107" s="23" t="n"/>
      <c r="D107" s="17" t="n"/>
      <c r="E107" s="22">
        <f>IF(A107="","",IF(OR(COUNTIF(Ajustes!$A$11:$A$40,A107)&gt;0,AND(Ajustes!$B$6="Sí",WEEKDAY(A107,2)=7)),"Sí",""))</f>
        <v/>
      </c>
      <c r="F107" s="24">
        <f>IF(E107="Sí",N(C107),0)</f>
        <v/>
      </c>
      <c r="G107" s="22">
        <f>IF(A107="","",MONTH(A107))</f>
        <v/>
      </c>
      <c r="H107" s="21">
        <f>IF(A107="","",A107-WEEKDAY(A107,2)+1)</f>
        <v/>
      </c>
    </row>
    <row r="108">
      <c r="A108" s="21">
        <f>IF(106&gt;DATE(Ajustes!$B$3,12,31)-DATE(Ajustes!$B$3,1,1),"",DATE(Ajustes!$B$3,1,1)+106)</f>
        <v/>
      </c>
      <c r="B108" s="22">
        <f>IF(A108="","",CHOOSE(WEEKDAY(A108,2),"Lunes","Martes","Miércoles","Jueves","Viernes","Sábado","Domingo"))</f>
        <v/>
      </c>
      <c r="C108" s="23" t="n"/>
      <c r="D108" s="17" t="n"/>
      <c r="E108" s="22">
        <f>IF(A108="","",IF(OR(COUNTIF(Ajustes!$A$11:$A$40,A108)&gt;0,AND(Ajustes!$B$6="Sí",WEEKDAY(A108,2)=7)),"Sí",""))</f>
        <v/>
      </c>
      <c r="F108" s="24">
        <f>IF(E108="Sí",N(C108),0)</f>
        <v/>
      </c>
      <c r="G108" s="22">
        <f>IF(A108="","",MONTH(A108))</f>
        <v/>
      </c>
      <c r="H108" s="21">
        <f>IF(A108="","",A108-WEEKDAY(A108,2)+1)</f>
        <v/>
      </c>
    </row>
    <row r="109">
      <c r="A109" s="21">
        <f>IF(107&gt;DATE(Ajustes!$B$3,12,31)-DATE(Ajustes!$B$3,1,1),"",DATE(Ajustes!$B$3,1,1)+107)</f>
        <v/>
      </c>
      <c r="B109" s="22">
        <f>IF(A109="","",CHOOSE(WEEKDAY(A109,2),"Lunes","Martes","Miércoles","Jueves","Viernes","Sábado","Domingo"))</f>
        <v/>
      </c>
      <c r="C109" s="23" t="n"/>
      <c r="D109" s="17" t="n"/>
      <c r="E109" s="22">
        <f>IF(A109="","",IF(OR(COUNTIF(Ajustes!$A$11:$A$40,A109)&gt;0,AND(Ajustes!$B$6="Sí",WEEKDAY(A109,2)=7)),"Sí",""))</f>
        <v/>
      </c>
      <c r="F109" s="24">
        <f>IF(E109="Sí",N(C109),0)</f>
        <v/>
      </c>
      <c r="G109" s="22">
        <f>IF(A109="","",MONTH(A109))</f>
        <v/>
      </c>
      <c r="H109" s="21">
        <f>IF(A109="","",A109-WEEKDAY(A109,2)+1)</f>
        <v/>
      </c>
    </row>
    <row r="110">
      <c r="A110" s="21">
        <f>IF(108&gt;DATE(Ajustes!$B$3,12,31)-DATE(Ajustes!$B$3,1,1),"",DATE(Ajustes!$B$3,1,1)+108)</f>
        <v/>
      </c>
      <c r="B110" s="22">
        <f>IF(A110="","",CHOOSE(WEEKDAY(A110,2),"Lunes","Martes","Miércoles","Jueves","Viernes","Sábado","Domingo"))</f>
        <v/>
      </c>
      <c r="C110" s="23" t="n"/>
      <c r="D110" s="17" t="n"/>
      <c r="E110" s="22">
        <f>IF(A110="","",IF(OR(COUNTIF(Ajustes!$A$11:$A$40,A110)&gt;0,AND(Ajustes!$B$6="Sí",WEEKDAY(A110,2)=7)),"Sí",""))</f>
        <v/>
      </c>
      <c r="F110" s="24">
        <f>IF(E110="Sí",N(C110),0)</f>
        <v/>
      </c>
      <c r="G110" s="22">
        <f>IF(A110="","",MONTH(A110))</f>
        <v/>
      </c>
      <c r="H110" s="21">
        <f>IF(A110="","",A110-WEEKDAY(A110,2)+1)</f>
        <v/>
      </c>
    </row>
    <row r="111">
      <c r="A111" s="21">
        <f>IF(109&gt;DATE(Ajustes!$B$3,12,31)-DATE(Ajustes!$B$3,1,1),"",DATE(Ajustes!$B$3,1,1)+109)</f>
        <v/>
      </c>
      <c r="B111" s="22">
        <f>IF(A111="","",CHOOSE(WEEKDAY(A111,2),"Lunes","Martes","Miércoles","Jueves","Viernes","Sábado","Domingo"))</f>
        <v/>
      </c>
      <c r="C111" s="23" t="n"/>
      <c r="D111" s="17" t="n"/>
      <c r="E111" s="22">
        <f>IF(A111="","",IF(OR(COUNTIF(Ajustes!$A$11:$A$40,A111)&gt;0,AND(Ajustes!$B$6="Sí",WEEKDAY(A111,2)=7)),"Sí",""))</f>
        <v/>
      </c>
      <c r="F111" s="24">
        <f>IF(E111="Sí",N(C111),0)</f>
        <v/>
      </c>
      <c r="G111" s="22">
        <f>IF(A111="","",MONTH(A111))</f>
        <v/>
      </c>
      <c r="H111" s="21">
        <f>IF(A111="","",A111-WEEKDAY(A111,2)+1)</f>
        <v/>
      </c>
    </row>
    <row r="112">
      <c r="A112" s="21">
        <f>IF(110&gt;DATE(Ajustes!$B$3,12,31)-DATE(Ajustes!$B$3,1,1),"",DATE(Ajustes!$B$3,1,1)+110)</f>
        <v/>
      </c>
      <c r="B112" s="22">
        <f>IF(A112="","",CHOOSE(WEEKDAY(A112,2),"Lunes","Martes","Miércoles","Jueves","Viernes","Sábado","Domingo"))</f>
        <v/>
      </c>
      <c r="C112" s="23" t="n"/>
      <c r="D112" s="17" t="n"/>
      <c r="E112" s="22">
        <f>IF(A112="","",IF(OR(COUNTIF(Ajustes!$A$11:$A$40,A112)&gt;0,AND(Ajustes!$B$6="Sí",WEEKDAY(A112,2)=7)),"Sí",""))</f>
        <v/>
      </c>
      <c r="F112" s="24">
        <f>IF(E112="Sí",N(C112),0)</f>
        <v/>
      </c>
      <c r="G112" s="22">
        <f>IF(A112="","",MONTH(A112))</f>
        <v/>
      </c>
      <c r="H112" s="21">
        <f>IF(A112="","",A112-WEEKDAY(A112,2)+1)</f>
        <v/>
      </c>
    </row>
    <row r="113">
      <c r="A113" s="21">
        <f>IF(111&gt;DATE(Ajustes!$B$3,12,31)-DATE(Ajustes!$B$3,1,1),"",DATE(Ajustes!$B$3,1,1)+111)</f>
        <v/>
      </c>
      <c r="B113" s="22">
        <f>IF(A113="","",CHOOSE(WEEKDAY(A113,2),"Lunes","Martes","Miércoles","Jueves","Viernes","Sábado","Domingo"))</f>
        <v/>
      </c>
      <c r="C113" s="23" t="n"/>
      <c r="D113" s="17" t="n"/>
      <c r="E113" s="22">
        <f>IF(A113="","",IF(OR(COUNTIF(Ajustes!$A$11:$A$40,A113)&gt;0,AND(Ajustes!$B$6="Sí",WEEKDAY(A113,2)=7)),"Sí",""))</f>
        <v/>
      </c>
      <c r="F113" s="24">
        <f>IF(E113="Sí",N(C113),0)</f>
        <v/>
      </c>
      <c r="G113" s="22">
        <f>IF(A113="","",MONTH(A113))</f>
        <v/>
      </c>
      <c r="H113" s="21">
        <f>IF(A113="","",A113-WEEKDAY(A113,2)+1)</f>
        <v/>
      </c>
    </row>
    <row r="114">
      <c r="A114" s="21">
        <f>IF(112&gt;DATE(Ajustes!$B$3,12,31)-DATE(Ajustes!$B$3,1,1),"",DATE(Ajustes!$B$3,1,1)+112)</f>
        <v/>
      </c>
      <c r="B114" s="22">
        <f>IF(A114="","",CHOOSE(WEEKDAY(A114,2),"Lunes","Martes","Miércoles","Jueves","Viernes","Sábado","Domingo"))</f>
        <v/>
      </c>
      <c r="C114" s="23" t="n"/>
      <c r="D114" s="17" t="n"/>
      <c r="E114" s="22">
        <f>IF(A114="","",IF(OR(COUNTIF(Ajustes!$A$11:$A$40,A114)&gt;0,AND(Ajustes!$B$6="Sí",WEEKDAY(A114,2)=7)),"Sí",""))</f>
        <v/>
      </c>
      <c r="F114" s="24">
        <f>IF(E114="Sí",N(C114),0)</f>
        <v/>
      </c>
      <c r="G114" s="22">
        <f>IF(A114="","",MONTH(A114))</f>
        <v/>
      </c>
      <c r="H114" s="21">
        <f>IF(A114="","",A114-WEEKDAY(A114,2)+1)</f>
        <v/>
      </c>
    </row>
    <row r="115">
      <c r="A115" s="21">
        <f>IF(113&gt;DATE(Ajustes!$B$3,12,31)-DATE(Ajustes!$B$3,1,1),"",DATE(Ajustes!$B$3,1,1)+113)</f>
        <v/>
      </c>
      <c r="B115" s="22">
        <f>IF(A115="","",CHOOSE(WEEKDAY(A115,2),"Lunes","Martes","Miércoles","Jueves","Viernes","Sábado","Domingo"))</f>
        <v/>
      </c>
      <c r="C115" s="23" t="n"/>
      <c r="D115" s="17" t="n"/>
      <c r="E115" s="22">
        <f>IF(A115="","",IF(OR(COUNTIF(Ajustes!$A$11:$A$40,A115)&gt;0,AND(Ajustes!$B$6="Sí",WEEKDAY(A115,2)=7)),"Sí",""))</f>
        <v/>
      </c>
      <c r="F115" s="24">
        <f>IF(E115="Sí",N(C115),0)</f>
        <v/>
      </c>
      <c r="G115" s="22">
        <f>IF(A115="","",MONTH(A115))</f>
        <v/>
      </c>
      <c r="H115" s="21">
        <f>IF(A115="","",A115-WEEKDAY(A115,2)+1)</f>
        <v/>
      </c>
    </row>
    <row r="116">
      <c r="A116" s="21">
        <f>IF(114&gt;DATE(Ajustes!$B$3,12,31)-DATE(Ajustes!$B$3,1,1),"",DATE(Ajustes!$B$3,1,1)+114)</f>
        <v/>
      </c>
      <c r="B116" s="22">
        <f>IF(A116="","",CHOOSE(WEEKDAY(A116,2),"Lunes","Martes","Miércoles","Jueves","Viernes","Sábado","Domingo"))</f>
        <v/>
      </c>
      <c r="C116" s="23" t="n"/>
      <c r="D116" s="17" t="n"/>
      <c r="E116" s="22">
        <f>IF(A116="","",IF(OR(COUNTIF(Ajustes!$A$11:$A$40,A116)&gt;0,AND(Ajustes!$B$6="Sí",WEEKDAY(A116,2)=7)),"Sí",""))</f>
        <v/>
      </c>
      <c r="F116" s="24">
        <f>IF(E116="Sí",N(C116),0)</f>
        <v/>
      </c>
      <c r="G116" s="22">
        <f>IF(A116="","",MONTH(A116))</f>
        <v/>
      </c>
      <c r="H116" s="21">
        <f>IF(A116="","",A116-WEEKDAY(A116,2)+1)</f>
        <v/>
      </c>
    </row>
    <row r="117">
      <c r="A117" s="21">
        <f>IF(115&gt;DATE(Ajustes!$B$3,12,31)-DATE(Ajustes!$B$3,1,1),"",DATE(Ajustes!$B$3,1,1)+115)</f>
        <v/>
      </c>
      <c r="B117" s="22">
        <f>IF(A117="","",CHOOSE(WEEKDAY(A117,2),"Lunes","Martes","Miércoles","Jueves","Viernes","Sábado","Domingo"))</f>
        <v/>
      </c>
      <c r="C117" s="23" t="n"/>
      <c r="D117" s="17" t="n"/>
      <c r="E117" s="22">
        <f>IF(A117="","",IF(OR(COUNTIF(Ajustes!$A$11:$A$40,A117)&gt;0,AND(Ajustes!$B$6="Sí",WEEKDAY(A117,2)=7)),"Sí",""))</f>
        <v/>
      </c>
      <c r="F117" s="24">
        <f>IF(E117="Sí",N(C117),0)</f>
        <v/>
      </c>
      <c r="G117" s="22">
        <f>IF(A117="","",MONTH(A117))</f>
        <v/>
      </c>
      <c r="H117" s="21">
        <f>IF(A117="","",A117-WEEKDAY(A117,2)+1)</f>
        <v/>
      </c>
    </row>
    <row r="118">
      <c r="A118" s="21">
        <f>IF(116&gt;DATE(Ajustes!$B$3,12,31)-DATE(Ajustes!$B$3,1,1),"",DATE(Ajustes!$B$3,1,1)+116)</f>
        <v/>
      </c>
      <c r="B118" s="22">
        <f>IF(A118="","",CHOOSE(WEEKDAY(A118,2),"Lunes","Martes","Miércoles","Jueves","Viernes","Sábado","Domingo"))</f>
        <v/>
      </c>
      <c r="C118" s="23" t="n"/>
      <c r="D118" s="17" t="n"/>
      <c r="E118" s="22">
        <f>IF(A118="","",IF(OR(COUNTIF(Ajustes!$A$11:$A$40,A118)&gt;0,AND(Ajustes!$B$6="Sí",WEEKDAY(A118,2)=7)),"Sí",""))</f>
        <v/>
      </c>
      <c r="F118" s="24">
        <f>IF(E118="Sí",N(C118),0)</f>
        <v/>
      </c>
      <c r="G118" s="22">
        <f>IF(A118="","",MONTH(A118))</f>
        <v/>
      </c>
      <c r="H118" s="21">
        <f>IF(A118="","",A118-WEEKDAY(A118,2)+1)</f>
        <v/>
      </c>
    </row>
    <row r="119">
      <c r="A119" s="21">
        <f>IF(117&gt;DATE(Ajustes!$B$3,12,31)-DATE(Ajustes!$B$3,1,1),"",DATE(Ajustes!$B$3,1,1)+117)</f>
        <v/>
      </c>
      <c r="B119" s="22">
        <f>IF(A119="","",CHOOSE(WEEKDAY(A119,2),"Lunes","Martes","Miércoles","Jueves","Viernes","Sábado","Domingo"))</f>
        <v/>
      </c>
      <c r="C119" s="23" t="n"/>
      <c r="D119" s="17" t="n"/>
      <c r="E119" s="22">
        <f>IF(A119="","",IF(OR(COUNTIF(Ajustes!$A$11:$A$40,A119)&gt;0,AND(Ajustes!$B$6="Sí",WEEKDAY(A119,2)=7)),"Sí",""))</f>
        <v/>
      </c>
      <c r="F119" s="24">
        <f>IF(E119="Sí",N(C119),0)</f>
        <v/>
      </c>
      <c r="G119" s="22">
        <f>IF(A119="","",MONTH(A119))</f>
        <v/>
      </c>
      <c r="H119" s="21">
        <f>IF(A119="","",A119-WEEKDAY(A119,2)+1)</f>
        <v/>
      </c>
    </row>
    <row r="120">
      <c r="A120" s="21">
        <f>IF(118&gt;DATE(Ajustes!$B$3,12,31)-DATE(Ajustes!$B$3,1,1),"",DATE(Ajustes!$B$3,1,1)+118)</f>
        <v/>
      </c>
      <c r="B120" s="22">
        <f>IF(A120="","",CHOOSE(WEEKDAY(A120,2),"Lunes","Martes","Miércoles","Jueves","Viernes","Sábado","Domingo"))</f>
        <v/>
      </c>
      <c r="C120" s="23" t="n"/>
      <c r="D120" s="17" t="n"/>
      <c r="E120" s="22">
        <f>IF(A120="","",IF(OR(COUNTIF(Ajustes!$A$11:$A$40,A120)&gt;0,AND(Ajustes!$B$6="Sí",WEEKDAY(A120,2)=7)),"Sí",""))</f>
        <v/>
      </c>
      <c r="F120" s="24">
        <f>IF(E120="Sí",N(C120),0)</f>
        <v/>
      </c>
      <c r="G120" s="22">
        <f>IF(A120="","",MONTH(A120))</f>
        <v/>
      </c>
      <c r="H120" s="21">
        <f>IF(A120="","",A120-WEEKDAY(A120,2)+1)</f>
        <v/>
      </c>
    </row>
    <row r="121">
      <c r="A121" s="21">
        <f>IF(119&gt;DATE(Ajustes!$B$3,12,31)-DATE(Ajustes!$B$3,1,1),"",DATE(Ajustes!$B$3,1,1)+119)</f>
        <v/>
      </c>
      <c r="B121" s="22">
        <f>IF(A121="","",CHOOSE(WEEKDAY(A121,2),"Lunes","Martes","Miércoles","Jueves","Viernes","Sábado","Domingo"))</f>
        <v/>
      </c>
      <c r="C121" s="23" t="n"/>
      <c r="D121" s="17" t="n"/>
      <c r="E121" s="22">
        <f>IF(A121="","",IF(OR(COUNTIF(Ajustes!$A$11:$A$40,A121)&gt;0,AND(Ajustes!$B$6="Sí",WEEKDAY(A121,2)=7)),"Sí",""))</f>
        <v/>
      </c>
      <c r="F121" s="24">
        <f>IF(E121="Sí",N(C121),0)</f>
        <v/>
      </c>
      <c r="G121" s="22">
        <f>IF(A121="","",MONTH(A121))</f>
        <v/>
      </c>
      <c r="H121" s="21">
        <f>IF(A121="","",A121-WEEKDAY(A121,2)+1)</f>
        <v/>
      </c>
    </row>
    <row r="122">
      <c r="A122" s="21">
        <f>IF(120&gt;DATE(Ajustes!$B$3,12,31)-DATE(Ajustes!$B$3,1,1),"",DATE(Ajustes!$B$3,1,1)+120)</f>
        <v/>
      </c>
      <c r="B122" s="22">
        <f>IF(A122="","",CHOOSE(WEEKDAY(A122,2),"Lunes","Martes","Miércoles","Jueves","Viernes","Sábado","Domingo"))</f>
        <v/>
      </c>
      <c r="C122" s="23" t="n"/>
      <c r="D122" s="17" t="n"/>
      <c r="E122" s="22">
        <f>IF(A122="","",IF(OR(COUNTIF(Ajustes!$A$11:$A$40,A122)&gt;0,AND(Ajustes!$B$6="Sí",WEEKDAY(A122,2)=7)),"Sí",""))</f>
        <v/>
      </c>
      <c r="F122" s="24">
        <f>IF(E122="Sí",N(C122),0)</f>
        <v/>
      </c>
      <c r="G122" s="22">
        <f>IF(A122="","",MONTH(A122))</f>
        <v/>
      </c>
      <c r="H122" s="21">
        <f>IF(A122="","",A122-WEEKDAY(A122,2)+1)</f>
        <v/>
      </c>
    </row>
    <row r="123">
      <c r="A123" s="21">
        <f>IF(121&gt;DATE(Ajustes!$B$3,12,31)-DATE(Ajustes!$B$3,1,1),"",DATE(Ajustes!$B$3,1,1)+121)</f>
        <v/>
      </c>
      <c r="B123" s="22">
        <f>IF(A123="","",CHOOSE(WEEKDAY(A123,2),"Lunes","Martes","Miércoles","Jueves","Viernes","Sábado","Domingo"))</f>
        <v/>
      </c>
      <c r="C123" s="23" t="n"/>
      <c r="D123" s="17" t="n"/>
      <c r="E123" s="22">
        <f>IF(A123="","",IF(OR(COUNTIF(Ajustes!$A$11:$A$40,A123)&gt;0,AND(Ajustes!$B$6="Sí",WEEKDAY(A123,2)=7)),"Sí",""))</f>
        <v/>
      </c>
      <c r="F123" s="24">
        <f>IF(E123="Sí",N(C123),0)</f>
        <v/>
      </c>
      <c r="G123" s="22">
        <f>IF(A123="","",MONTH(A123))</f>
        <v/>
      </c>
      <c r="H123" s="21">
        <f>IF(A123="","",A123-WEEKDAY(A123,2)+1)</f>
        <v/>
      </c>
    </row>
    <row r="124">
      <c r="A124" s="21">
        <f>IF(122&gt;DATE(Ajustes!$B$3,12,31)-DATE(Ajustes!$B$3,1,1),"",DATE(Ajustes!$B$3,1,1)+122)</f>
        <v/>
      </c>
      <c r="B124" s="22">
        <f>IF(A124="","",CHOOSE(WEEKDAY(A124,2),"Lunes","Martes","Miércoles","Jueves","Viernes","Sábado","Domingo"))</f>
        <v/>
      </c>
      <c r="C124" s="23" t="n"/>
      <c r="D124" s="17" t="n"/>
      <c r="E124" s="22">
        <f>IF(A124="","",IF(OR(COUNTIF(Ajustes!$A$11:$A$40,A124)&gt;0,AND(Ajustes!$B$6="Sí",WEEKDAY(A124,2)=7)),"Sí",""))</f>
        <v/>
      </c>
      <c r="F124" s="24">
        <f>IF(E124="Sí",N(C124),0)</f>
        <v/>
      </c>
      <c r="G124" s="22">
        <f>IF(A124="","",MONTH(A124))</f>
        <v/>
      </c>
      <c r="H124" s="21">
        <f>IF(A124="","",A124-WEEKDAY(A124,2)+1)</f>
        <v/>
      </c>
    </row>
    <row r="125">
      <c r="A125" s="21">
        <f>IF(123&gt;DATE(Ajustes!$B$3,12,31)-DATE(Ajustes!$B$3,1,1),"",DATE(Ajustes!$B$3,1,1)+123)</f>
        <v/>
      </c>
      <c r="B125" s="22">
        <f>IF(A125="","",CHOOSE(WEEKDAY(A125,2),"Lunes","Martes","Miércoles","Jueves","Viernes","Sábado","Domingo"))</f>
        <v/>
      </c>
      <c r="C125" s="23" t="n"/>
      <c r="D125" s="17" t="n"/>
      <c r="E125" s="22">
        <f>IF(A125="","",IF(OR(COUNTIF(Ajustes!$A$11:$A$40,A125)&gt;0,AND(Ajustes!$B$6="Sí",WEEKDAY(A125,2)=7)),"Sí",""))</f>
        <v/>
      </c>
      <c r="F125" s="24">
        <f>IF(E125="Sí",N(C125),0)</f>
        <v/>
      </c>
      <c r="G125" s="22">
        <f>IF(A125="","",MONTH(A125))</f>
        <v/>
      </c>
      <c r="H125" s="21">
        <f>IF(A125="","",A125-WEEKDAY(A125,2)+1)</f>
        <v/>
      </c>
    </row>
    <row r="126">
      <c r="A126" s="21">
        <f>IF(124&gt;DATE(Ajustes!$B$3,12,31)-DATE(Ajustes!$B$3,1,1),"",DATE(Ajustes!$B$3,1,1)+124)</f>
        <v/>
      </c>
      <c r="B126" s="22">
        <f>IF(A126="","",CHOOSE(WEEKDAY(A126,2),"Lunes","Martes","Miércoles","Jueves","Viernes","Sábado","Domingo"))</f>
        <v/>
      </c>
      <c r="C126" s="23" t="n"/>
      <c r="D126" s="17" t="n"/>
      <c r="E126" s="22">
        <f>IF(A126="","",IF(OR(COUNTIF(Ajustes!$A$11:$A$40,A126)&gt;0,AND(Ajustes!$B$6="Sí",WEEKDAY(A126,2)=7)),"Sí",""))</f>
        <v/>
      </c>
      <c r="F126" s="24">
        <f>IF(E126="Sí",N(C126),0)</f>
        <v/>
      </c>
      <c r="G126" s="22">
        <f>IF(A126="","",MONTH(A126))</f>
        <v/>
      </c>
      <c r="H126" s="21">
        <f>IF(A126="","",A126-WEEKDAY(A126,2)+1)</f>
        <v/>
      </c>
    </row>
    <row r="127">
      <c r="A127" s="21">
        <f>IF(125&gt;DATE(Ajustes!$B$3,12,31)-DATE(Ajustes!$B$3,1,1),"",DATE(Ajustes!$B$3,1,1)+125)</f>
        <v/>
      </c>
      <c r="B127" s="22">
        <f>IF(A127="","",CHOOSE(WEEKDAY(A127,2),"Lunes","Martes","Miércoles","Jueves","Viernes","Sábado","Domingo"))</f>
        <v/>
      </c>
      <c r="C127" s="23" t="n"/>
      <c r="D127" s="17" t="n"/>
      <c r="E127" s="22">
        <f>IF(A127="","",IF(OR(COUNTIF(Ajustes!$A$11:$A$40,A127)&gt;0,AND(Ajustes!$B$6="Sí",WEEKDAY(A127,2)=7)),"Sí",""))</f>
        <v/>
      </c>
      <c r="F127" s="24">
        <f>IF(E127="Sí",N(C127),0)</f>
        <v/>
      </c>
      <c r="G127" s="22">
        <f>IF(A127="","",MONTH(A127))</f>
        <v/>
      </c>
      <c r="H127" s="21">
        <f>IF(A127="","",A127-WEEKDAY(A127,2)+1)</f>
        <v/>
      </c>
    </row>
    <row r="128">
      <c r="A128" s="21">
        <f>IF(126&gt;DATE(Ajustes!$B$3,12,31)-DATE(Ajustes!$B$3,1,1),"",DATE(Ajustes!$B$3,1,1)+126)</f>
        <v/>
      </c>
      <c r="B128" s="22">
        <f>IF(A128="","",CHOOSE(WEEKDAY(A128,2),"Lunes","Martes","Miércoles","Jueves","Viernes","Sábado","Domingo"))</f>
        <v/>
      </c>
      <c r="C128" s="23" t="n"/>
      <c r="D128" s="17" t="n"/>
      <c r="E128" s="22">
        <f>IF(A128="","",IF(OR(COUNTIF(Ajustes!$A$11:$A$40,A128)&gt;0,AND(Ajustes!$B$6="Sí",WEEKDAY(A128,2)=7)),"Sí",""))</f>
        <v/>
      </c>
      <c r="F128" s="24">
        <f>IF(E128="Sí",N(C128),0)</f>
        <v/>
      </c>
      <c r="G128" s="22">
        <f>IF(A128="","",MONTH(A128))</f>
        <v/>
      </c>
      <c r="H128" s="21">
        <f>IF(A128="","",A128-WEEKDAY(A128,2)+1)</f>
        <v/>
      </c>
    </row>
    <row r="129">
      <c r="A129" s="21">
        <f>IF(127&gt;DATE(Ajustes!$B$3,12,31)-DATE(Ajustes!$B$3,1,1),"",DATE(Ajustes!$B$3,1,1)+127)</f>
        <v/>
      </c>
      <c r="B129" s="22">
        <f>IF(A129="","",CHOOSE(WEEKDAY(A129,2),"Lunes","Martes","Miércoles","Jueves","Viernes","Sábado","Domingo"))</f>
        <v/>
      </c>
      <c r="C129" s="23" t="n"/>
      <c r="D129" s="17" t="n"/>
      <c r="E129" s="22">
        <f>IF(A129="","",IF(OR(COUNTIF(Ajustes!$A$11:$A$40,A129)&gt;0,AND(Ajustes!$B$6="Sí",WEEKDAY(A129,2)=7)),"Sí",""))</f>
        <v/>
      </c>
      <c r="F129" s="24">
        <f>IF(E129="Sí",N(C129),0)</f>
        <v/>
      </c>
      <c r="G129" s="22">
        <f>IF(A129="","",MONTH(A129))</f>
        <v/>
      </c>
      <c r="H129" s="21">
        <f>IF(A129="","",A129-WEEKDAY(A129,2)+1)</f>
        <v/>
      </c>
    </row>
    <row r="130">
      <c r="A130" s="21">
        <f>IF(128&gt;DATE(Ajustes!$B$3,12,31)-DATE(Ajustes!$B$3,1,1),"",DATE(Ajustes!$B$3,1,1)+128)</f>
        <v/>
      </c>
      <c r="B130" s="22">
        <f>IF(A130="","",CHOOSE(WEEKDAY(A130,2),"Lunes","Martes","Miércoles","Jueves","Viernes","Sábado","Domingo"))</f>
        <v/>
      </c>
      <c r="C130" s="23" t="n"/>
      <c r="D130" s="17" t="n"/>
      <c r="E130" s="22">
        <f>IF(A130="","",IF(OR(COUNTIF(Ajustes!$A$11:$A$40,A130)&gt;0,AND(Ajustes!$B$6="Sí",WEEKDAY(A130,2)=7)),"Sí",""))</f>
        <v/>
      </c>
      <c r="F130" s="24">
        <f>IF(E130="Sí",N(C130),0)</f>
        <v/>
      </c>
      <c r="G130" s="22">
        <f>IF(A130="","",MONTH(A130))</f>
        <v/>
      </c>
      <c r="H130" s="21">
        <f>IF(A130="","",A130-WEEKDAY(A130,2)+1)</f>
        <v/>
      </c>
    </row>
    <row r="131">
      <c r="A131" s="21">
        <f>IF(129&gt;DATE(Ajustes!$B$3,12,31)-DATE(Ajustes!$B$3,1,1),"",DATE(Ajustes!$B$3,1,1)+129)</f>
        <v/>
      </c>
      <c r="B131" s="22">
        <f>IF(A131="","",CHOOSE(WEEKDAY(A131,2),"Lunes","Martes","Miércoles","Jueves","Viernes","Sábado","Domingo"))</f>
        <v/>
      </c>
      <c r="C131" s="23" t="n"/>
      <c r="D131" s="17" t="n"/>
      <c r="E131" s="22">
        <f>IF(A131="","",IF(OR(COUNTIF(Ajustes!$A$11:$A$40,A131)&gt;0,AND(Ajustes!$B$6="Sí",WEEKDAY(A131,2)=7)),"Sí",""))</f>
        <v/>
      </c>
      <c r="F131" s="24">
        <f>IF(E131="Sí",N(C131),0)</f>
        <v/>
      </c>
      <c r="G131" s="22">
        <f>IF(A131="","",MONTH(A131))</f>
        <v/>
      </c>
      <c r="H131" s="21">
        <f>IF(A131="","",A131-WEEKDAY(A131,2)+1)</f>
        <v/>
      </c>
    </row>
    <row r="132">
      <c r="A132" s="21">
        <f>IF(130&gt;DATE(Ajustes!$B$3,12,31)-DATE(Ajustes!$B$3,1,1),"",DATE(Ajustes!$B$3,1,1)+130)</f>
        <v/>
      </c>
      <c r="B132" s="22">
        <f>IF(A132="","",CHOOSE(WEEKDAY(A132,2),"Lunes","Martes","Miércoles","Jueves","Viernes","Sábado","Domingo"))</f>
        <v/>
      </c>
      <c r="C132" s="23" t="n"/>
      <c r="D132" s="17" t="n"/>
      <c r="E132" s="22">
        <f>IF(A132="","",IF(OR(COUNTIF(Ajustes!$A$11:$A$40,A132)&gt;0,AND(Ajustes!$B$6="Sí",WEEKDAY(A132,2)=7)),"Sí",""))</f>
        <v/>
      </c>
      <c r="F132" s="24">
        <f>IF(E132="Sí",N(C132),0)</f>
        <v/>
      </c>
      <c r="G132" s="22">
        <f>IF(A132="","",MONTH(A132))</f>
        <v/>
      </c>
      <c r="H132" s="21">
        <f>IF(A132="","",A132-WEEKDAY(A132,2)+1)</f>
        <v/>
      </c>
    </row>
    <row r="133">
      <c r="A133" s="21">
        <f>IF(131&gt;DATE(Ajustes!$B$3,12,31)-DATE(Ajustes!$B$3,1,1),"",DATE(Ajustes!$B$3,1,1)+131)</f>
        <v/>
      </c>
      <c r="B133" s="22">
        <f>IF(A133="","",CHOOSE(WEEKDAY(A133,2),"Lunes","Martes","Miércoles","Jueves","Viernes","Sábado","Domingo"))</f>
        <v/>
      </c>
      <c r="C133" s="23" t="n"/>
      <c r="D133" s="17" t="n"/>
      <c r="E133" s="22">
        <f>IF(A133="","",IF(OR(COUNTIF(Ajustes!$A$11:$A$40,A133)&gt;0,AND(Ajustes!$B$6="Sí",WEEKDAY(A133,2)=7)),"Sí",""))</f>
        <v/>
      </c>
      <c r="F133" s="24">
        <f>IF(E133="Sí",N(C133),0)</f>
        <v/>
      </c>
      <c r="G133" s="22">
        <f>IF(A133="","",MONTH(A133))</f>
        <v/>
      </c>
      <c r="H133" s="21">
        <f>IF(A133="","",A133-WEEKDAY(A133,2)+1)</f>
        <v/>
      </c>
    </row>
    <row r="134">
      <c r="A134" s="21">
        <f>IF(132&gt;DATE(Ajustes!$B$3,12,31)-DATE(Ajustes!$B$3,1,1),"",DATE(Ajustes!$B$3,1,1)+132)</f>
        <v/>
      </c>
      <c r="B134" s="22">
        <f>IF(A134="","",CHOOSE(WEEKDAY(A134,2),"Lunes","Martes","Miércoles","Jueves","Viernes","Sábado","Domingo"))</f>
        <v/>
      </c>
      <c r="C134" s="23" t="n"/>
      <c r="D134" s="17" t="n"/>
      <c r="E134" s="22">
        <f>IF(A134="","",IF(OR(COUNTIF(Ajustes!$A$11:$A$40,A134)&gt;0,AND(Ajustes!$B$6="Sí",WEEKDAY(A134,2)=7)),"Sí",""))</f>
        <v/>
      </c>
      <c r="F134" s="24">
        <f>IF(E134="Sí",N(C134),0)</f>
        <v/>
      </c>
      <c r="G134" s="22">
        <f>IF(A134="","",MONTH(A134))</f>
        <v/>
      </c>
      <c r="H134" s="21">
        <f>IF(A134="","",A134-WEEKDAY(A134,2)+1)</f>
        <v/>
      </c>
    </row>
    <row r="135">
      <c r="A135" s="21">
        <f>IF(133&gt;DATE(Ajustes!$B$3,12,31)-DATE(Ajustes!$B$3,1,1),"",DATE(Ajustes!$B$3,1,1)+133)</f>
        <v/>
      </c>
      <c r="B135" s="22">
        <f>IF(A135="","",CHOOSE(WEEKDAY(A135,2),"Lunes","Martes","Miércoles","Jueves","Viernes","Sábado","Domingo"))</f>
        <v/>
      </c>
      <c r="C135" s="23" t="n"/>
      <c r="D135" s="17" t="n"/>
      <c r="E135" s="22">
        <f>IF(A135="","",IF(OR(COUNTIF(Ajustes!$A$11:$A$40,A135)&gt;0,AND(Ajustes!$B$6="Sí",WEEKDAY(A135,2)=7)),"Sí",""))</f>
        <v/>
      </c>
      <c r="F135" s="24">
        <f>IF(E135="Sí",N(C135),0)</f>
        <v/>
      </c>
      <c r="G135" s="22">
        <f>IF(A135="","",MONTH(A135))</f>
        <v/>
      </c>
      <c r="H135" s="21">
        <f>IF(A135="","",A135-WEEKDAY(A135,2)+1)</f>
        <v/>
      </c>
    </row>
    <row r="136">
      <c r="A136" s="21">
        <f>IF(134&gt;DATE(Ajustes!$B$3,12,31)-DATE(Ajustes!$B$3,1,1),"",DATE(Ajustes!$B$3,1,1)+134)</f>
        <v/>
      </c>
      <c r="B136" s="22">
        <f>IF(A136="","",CHOOSE(WEEKDAY(A136,2),"Lunes","Martes","Miércoles","Jueves","Viernes","Sábado","Domingo"))</f>
        <v/>
      </c>
      <c r="C136" s="23" t="n"/>
      <c r="D136" s="17" t="n"/>
      <c r="E136" s="22">
        <f>IF(A136="","",IF(OR(COUNTIF(Ajustes!$A$11:$A$40,A136)&gt;0,AND(Ajustes!$B$6="Sí",WEEKDAY(A136,2)=7)),"Sí",""))</f>
        <v/>
      </c>
      <c r="F136" s="24">
        <f>IF(E136="Sí",N(C136),0)</f>
        <v/>
      </c>
      <c r="G136" s="22">
        <f>IF(A136="","",MONTH(A136))</f>
        <v/>
      </c>
      <c r="H136" s="21">
        <f>IF(A136="","",A136-WEEKDAY(A136,2)+1)</f>
        <v/>
      </c>
    </row>
    <row r="137">
      <c r="A137" s="21">
        <f>IF(135&gt;DATE(Ajustes!$B$3,12,31)-DATE(Ajustes!$B$3,1,1),"",DATE(Ajustes!$B$3,1,1)+135)</f>
        <v/>
      </c>
      <c r="B137" s="22">
        <f>IF(A137="","",CHOOSE(WEEKDAY(A137,2),"Lunes","Martes","Miércoles","Jueves","Viernes","Sábado","Domingo"))</f>
        <v/>
      </c>
      <c r="C137" s="23" t="n"/>
      <c r="D137" s="17" t="n"/>
      <c r="E137" s="22">
        <f>IF(A137="","",IF(OR(COUNTIF(Ajustes!$A$11:$A$40,A137)&gt;0,AND(Ajustes!$B$6="Sí",WEEKDAY(A137,2)=7)),"Sí",""))</f>
        <v/>
      </c>
      <c r="F137" s="24">
        <f>IF(E137="Sí",N(C137),0)</f>
        <v/>
      </c>
      <c r="G137" s="22">
        <f>IF(A137="","",MONTH(A137))</f>
        <v/>
      </c>
      <c r="H137" s="21">
        <f>IF(A137="","",A137-WEEKDAY(A137,2)+1)</f>
        <v/>
      </c>
    </row>
    <row r="138">
      <c r="A138" s="21">
        <f>IF(136&gt;DATE(Ajustes!$B$3,12,31)-DATE(Ajustes!$B$3,1,1),"",DATE(Ajustes!$B$3,1,1)+136)</f>
        <v/>
      </c>
      <c r="B138" s="22">
        <f>IF(A138="","",CHOOSE(WEEKDAY(A138,2),"Lunes","Martes","Miércoles","Jueves","Viernes","Sábado","Domingo"))</f>
        <v/>
      </c>
      <c r="C138" s="23" t="n"/>
      <c r="D138" s="17" t="n"/>
      <c r="E138" s="22">
        <f>IF(A138="","",IF(OR(COUNTIF(Ajustes!$A$11:$A$40,A138)&gt;0,AND(Ajustes!$B$6="Sí",WEEKDAY(A138,2)=7)),"Sí",""))</f>
        <v/>
      </c>
      <c r="F138" s="24">
        <f>IF(E138="Sí",N(C138),0)</f>
        <v/>
      </c>
      <c r="G138" s="22">
        <f>IF(A138="","",MONTH(A138))</f>
        <v/>
      </c>
      <c r="H138" s="21">
        <f>IF(A138="","",A138-WEEKDAY(A138,2)+1)</f>
        <v/>
      </c>
    </row>
    <row r="139">
      <c r="A139" s="21">
        <f>IF(137&gt;DATE(Ajustes!$B$3,12,31)-DATE(Ajustes!$B$3,1,1),"",DATE(Ajustes!$B$3,1,1)+137)</f>
        <v/>
      </c>
      <c r="B139" s="22">
        <f>IF(A139="","",CHOOSE(WEEKDAY(A139,2),"Lunes","Martes","Miércoles","Jueves","Viernes","Sábado","Domingo"))</f>
        <v/>
      </c>
      <c r="C139" s="23" t="n"/>
      <c r="D139" s="17" t="n"/>
      <c r="E139" s="22">
        <f>IF(A139="","",IF(OR(COUNTIF(Ajustes!$A$11:$A$40,A139)&gt;0,AND(Ajustes!$B$6="Sí",WEEKDAY(A139,2)=7)),"Sí",""))</f>
        <v/>
      </c>
      <c r="F139" s="24">
        <f>IF(E139="Sí",N(C139),0)</f>
        <v/>
      </c>
      <c r="G139" s="22">
        <f>IF(A139="","",MONTH(A139))</f>
        <v/>
      </c>
      <c r="H139" s="21">
        <f>IF(A139="","",A139-WEEKDAY(A139,2)+1)</f>
        <v/>
      </c>
    </row>
    <row r="140">
      <c r="A140" s="21">
        <f>IF(138&gt;DATE(Ajustes!$B$3,12,31)-DATE(Ajustes!$B$3,1,1),"",DATE(Ajustes!$B$3,1,1)+138)</f>
        <v/>
      </c>
      <c r="B140" s="22">
        <f>IF(A140="","",CHOOSE(WEEKDAY(A140,2),"Lunes","Martes","Miércoles","Jueves","Viernes","Sábado","Domingo"))</f>
        <v/>
      </c>
      <c r="C140" s="23" t="n"/>
      <c r="D140" s="17" t="n"/>
      <c r="E140" s="22">
        <f>IF(A140="","",IF(OR(COUNTIF(Ajustes!$A$11:$A$40,A140)&gt;0,AND(Ajustes!$B$6="Sí",WEEKDAY(A140,2)=7)),"Sí",""))</f>
        <v/>
      </c>
      <c r="F140" s="24">
        <f>IF(E140="Sí",N(C140),0)</f>
        <v/>
      </c>
      <c r="G140" s="22">
        <f>IF(A140="","",MONTH(A140))</f>
        <v/>
      </c>
      <c r="H140" s="21">
        <f>IF(A140="","",A140-WEEKDAY(A140,2)+1)</f>
        <v/>
      </c>
    </row>
    <row r="141">
      <c r="A141" s="21">
        <f>IF(139&gt;DATE(Ajustes!$B$3,12,31)-DATE(Ajustes!$B$3,1,1),"",DATE(Ajustes!$B$3,1,1)+139)</f>
        <v/>
      </c>
      <c r="B141" s="22">
        <f>IF(A141="","",CHOOSE(WEEKDAY(A141,2),"Lunes","Martes","Miércoles","Jueves","Viernes","Sábado","Domingo"))</f>
        <v/>
      </c>
      <c r="C141" s="23" t="n"/>
      <c r="D141" s="17" t="n"/>
      <c r="E141" s="22">
        <f>IF(A141="","",IF(OR(COUNTIF(Ajustes!$A$11:$A$40,A141)&gt;0,AND(Ajustes!$B$6="Sí",WEEKDAY(A141,2)=7)),"Sí",""))</f>
        <v/>
      </c>
      <c r="F141" s="24">
        <f>IF(E141="Sí",N(C141),0)</f>
        <v/>
      </c>
      <c r="G141" s="22">
        <f>IF(A141="","",MONTH(A141))</f>
        <v/>
      </c>
      <c r="H141" s="21">
        <f>IF(A141="","",A141-WEEKDAY(A141,2)+1)</f>
        <v/>
      </c>
    </row>
    <row r="142">
      <c r="A142" s="21">
        <f>IF(140&gt;DATE(Ajustes!$B$3,12,31)-DATE(Ajustes!$B$3,1,1),"",DATE(Ajustes!$B$3,1,1)+140)</f>
        <v/>
      </c>
      <c r="B142" s="22">
        <f>IF(A142="","",CHOOSE(WEEKDAY(A142,2),"Lunes","Martes","Miércoles","Jueves","Viernes","Sábado","Domingo"))</f>
        <v/>
      </c>
      <c r="C142" s="23" t="n"/>
      <c r="D142" s="17" t="n"/>
      <c r="E142" s="22">
        <f>IF(A142="","",IF(OR(COUNTIF(Ajustes!$A$11:$A$40,A142)&gt;0,AND(Ajustes!$B$6="Sí",WEEKDAY(A142,2)=7)),"Sí",""))</f>
        <v/>
      </c>
      <c r="F142" s="24">
        <f>IF(E142="Sí",N(C142),0)</f>
        <v/>
      </c>
      <c r="G142" s="22">
        <f>IF(A142="","",MONTH(A142))</f>
        <v/>
      </c>
      <c r="H142" s="21">
        <f>IF(A142="","",A142-WEEKDAY(A142,2)+1)</f>
        <v/>
      </c>
    </row>
    <row r="143">
      <c r="A143" s="21">
        <f>IF(141&gt;DATE(Ajustes!$B$3,12,31)-DATE(Ajustes!$B$3,1,1),"",DATE(Ajustes!$B$3,1,1)+141)</f>
        <v/>
      </c>
      <c r="B143" s="22">
        <f>IF(A143="","",CHOOSE(WEEKDAY(A143,2),"Lunes","Martes","Miércoles","Jueves","Viernes","Sábado","Domingo"))</f>
        <v/>
      </c>
      <c r="C143" s="23" t="n"/>
      <c r="D143" s="17" t="n"/>
      <c r="E143" s="22">
        <f>IF(A143="","",IF(OR(COUNTIF(Ajustes!$A$11:$A$40,A143)&gt;0,AND(Ajustes!$B$6="Sí",WEEKDAY(A143,2)=7)),"Sí",""))</f>
        <v/>
      </c>
      <c r="F143" s="24">
        <f>IF(E143="Sí",N(C143),0)</f>
        <v/>
      </c>
      <c r="G143" s="22">
        <f>IF(A143="","",MONTH(A143))</f>
        <v/>
      </c>
      <c r="H143" s="21">
        <f>IF(A143="","",A143-WEEKDAY(A143,2)+1)</f>
        <v/>
      </c>
    </row>
    <row r="144">
      <c r="A144" s="21">
        <f>IF(142&gt;DATE(Ajustes!$B$3,12,31)-DATE(Ajustes!$B$3,1,1),"",DATE(Ajustes!$B$3,1,1)+142)</f>
        <v/>
      </c>
      <c r="B144" s="22">
        <f>IF(A144="","",CHOOSE(WEEKDAY(A144,2),"Lunes","Martes","Miércoles","Jueves","Viernes","Sábado","Domingo"))</f>
        <v/>
      </c>
      <c r="C144" s="23" t="n"/>
      <c r="D144" s="17" t="n"/>
      <c r="E144" s="22">
        <f>IF(A144="","",IF(OR(COUNTIF(Ajustes!$A$11:$A$40,A144)&gt;0,AND(Ajustes!$B$6="Sí",WEEKDAY(A144,2)=7)),"Sí",""))</f>
        <v/>
      </c>
      <c r="F144" s="24">
        <f>IF(E144="Sí",N(C144),0)</f>
        <v/>
      </c>
      <c r="G144" s="22">
        <f>IF(A144="","",MONTH(A144))</f>
        <v/>
      </c>
      <c r="H144" s="21">
        <f>IF(A144="","",A144-WEEKDAY(A144,2)+1)</f>
        <v/>
      </c>
    </row>
    <row r="145">
      <c r="A145" s="21">
        <f>IF(143&gt;DATE(Ajustes!$B$3,12,31)-DATE(Ajustes!$B$3,1,1),"",DATE(Ajustes!$B$3,1,1)+143)</f>
        <v/>
      </c>
      <c r="B145" s="22">
        <f>IF(A145="","",CHOOSE(WEEKDAY(A145,2),"Lunes","Martes","Miércoles","Jueves","Viernes","Sábado","Domingo"))</f>
        <v/>
      </c>
      <c r="C145" s="23" t="n"/>
      <c r="D145" s="17" t="n"/>
      <c r="E145" s="22">
        <f>IF(A145="","",IF(OR(COUNTIF(Ajustes!$A$11:$A$40,A145)&gt;0,AND(Ajustes!$B$6="Sí",WEEKDAY(A145,2)=7)),"Sí",""))</f>
        <v/>
      </c>
      <c r="F145" s="24">
        <f>IF(E145="Sí",N(C145),0)</f>
        <v/>
      </c>
      <c r="G145" s="22">
        <f>IF(A145="","",MONTH(A145))</f>
        <v/>
      </c>
      <c r="H145" s="21">
        <f>IF(A145="","",A145-WEEKDAY(A145,2)+1)</f>
        <v/>
      </c>
    </row>
    <row r="146">
      <c r="A146" s="21">
        <f>IF(144&gt;DATE(Ajustes!$B$3,12,31)-DATE(Ajustes!$B$3,1,1),"",DATE(Ajustes!$B$3,1,1)+144)</f>
        <v/>
      </c>
      <c r="B146" s="22">
        <f>IF(A146="","",CHOOSE(WEEKDAY(A146,2),"Lunes","Martes","Miércoles","Jueves","Viernes","Sábado","Domingo"))</f>
        <v/>
      </c>
      <c r="C146" s="23" t="n"/>
      <c r="D146" s="17" t="n"/>
      <c r="E146" s="22">
        <f>IF(A146="","",IF(OR(COUNTIF(Ajustes!$A$11:$A$40,A146)&gt;0,AND(Ajustes!$B$6="Sí",WEEKDAY(A146,2)=7)),"Sí",""))</f>
        <v/>
      </c>
      <c r="F146" s="24">
        <f>IF(E146="Sí",N(C146),0)</f>
        <v/>
      </c>
      <c r="G146" s="22">
        <f>IF(A146="","",MONTH(A146))</f>
        <v/>
      </c>
      <c r="H146" s="21">
        <f>IF(A146="","",A146-WEEKDAY(A146,2)+1)</f>
        <v/>
      </c>
    </row>
    <row r="147">
      <c r="A147" s="21">
        <f>IF(145&gt;DATE(Ajustes!$B$3,12,31)-DATE(Ajustes!$B$3,1,1),"",DATE(Ajustes!$B$3,1,1)+145)</f>
        <v/>
      </c>
      <c r="B147" s="22">
        <f>IF(A147="","",CHOOSE(WEEKDAY(A147,2),"Lunes","Martes","Miércoles","Jueves","Viernes","Sábado","Domingo"))</f>
        <v/>
      </c>
      <c r="C147" s="23" t="n"/>
      <c r="D147" s="17" t="n"/>
      <c r="E147" s="22">
        <f>IF(A147="","",IF(OR(COUNTIF(Ajustes!$A$11:$A$40,A147)&gt;0,AND(Ajustes!$B$6="Sí",WEEKDAY(A147,2)=7)),"Sí",""))</f>
        <v/>
      </c>
      <c r="F147" s="24">
        <f>IF(E147="Sí",N(C147),0)</f>
        <v/>
      </c>
      <c r="G147" s="22">
        <f>IF(A147="","",MONTH(A147))</f>
        <v/>
      </c>
      <c r="H147" s="21">
        <f>IF(A147="","",A147-WEEKDAY(A147,2)+1)</f>
        <v/>
      </c>
    </row>
    <row r="148">
      <c r="A148" s="21">
        <f>IF(146&gt;DATE(Ajustes!$B$3,12,31)-DATE(Ajustes!$B$3,1,1),"",DATE(Ajustes!$B$3,1,1)+146)</f>
        <v/>
      </c>
      <c r="B148" s="22">
        <f>IF(A148="","",CHOOSE(WEEKDAY(A148,2),"Lunes","Martes","Miércoles","Jueves","Viernes","Sábado","Domingo"))</f>
        <v/>
      </c>
      <c r="C148" s="23" t="n"/>
      <c r="D148" s="17" t="n"/>
      <c r="E148" s="22">
        <f>IF(A148="","",IF(OR(COUNTIF(Ajustes!$A$11:$A$40,A148)&gt;0,AND(Ajustes!$B$6="Sí",WEEKDAY(A148,2)=7)),"Sí",""))</f>
        <v/>
      </c>
      <c r="F148" s="24">
        <f>IF(E148="Sí",N(C148),0)</f>
        <v/>
      </c>
      <c r="G148" s="22">
        <f>IF(A148="","",MONTH(A148))</f>
        <v/>
      </c>
      <c r="H148" s="21">
        <f>IF(A148="","",A148-WEEKDAY(A148,2)+1)</f>
        <v/>
      </c>
    </row>
    <row r="149">
      <c r="A149" s="21">
        <f>IF(147&gt;DATE(Ajustes!$B$3,12,31)-DATE(Ajustes!$B$3,1,1),"",DATE(Ajustes!$B$3,1,1)+147)</f>
        <v/>
      </c>
      <c r="B149" s="22">
        <f>IF(A149="","",CHOOSE(WEEKDAY(A149,2),"Lunes","Martes","Miércoles","Jueves","Viernes","Sábado","Domingo"))</f>
        <v/>
      </c>
      <c r="C149" s="23" t="n"/>
      <c r="D149" s="17" t="n"/>
      <c r="E149" s="22">
        <f>IF(A149="","",IF(OR(COUNTIF(Ajustes!$A$11:$A$40,A149)&gt;0,AND(Ajustes!$B$6="Sí",WEEKDAY(A149,2)=7)),"Sí",""))</f>
        <v/>
      </c>
      <c r="F149" s="24">
        <f>IF(E149="Sí",N(C149),0)</f>
        <v/>
      </c>
      <c r="G149" s="22">
        <f>IF(A149="","",MONTH(A149))</f>
        <v/>
      </c>
      <c r="H149" s="21">
        <f>IF(A149="","",A149-WEEKDAY(A149,2)+1)</f>
        <v/>
      </c>
    </row>
    <row r="150">
      <c r="A150" s="21">
        <f>IF(148&gt;DATE(Ajustes!$B$3,12,31)-DATE(Ajustes!$B$3,1,1),"",DATE(Ajustes!$B$3,1,1)+148)</f>
        <v/>
      </c>
      <c r="B150" s="22">
        <f>IF(A150="","",CHOOSE(WEEKDAY(A150,2),"Lunes","Martes","Miércoles","Jueves","Viernes","Sábado","Domingo"))</f>
        <v/>
      </c>
      <c r="C150" s="23" t="n"/>
      <c r="D150" s="17" t="n"/>
      <c r="E150" s="22">
        <f>IF(A150="","",IF(OR(COUNTIF(Ajustes!$A$11:$A$40,A150)&gt;0,AND(Ajustes!$B$6="Sí",WEEKDAY(A150,2)=7)),"Sí",""))</f>
        <v/>
      </c>
      <c r="F150" s="24">
        <f>IF(E150="Sí",N(C150),0)</f>
        <v/>
      </c>
      <c r="G150" s="22">
        <f>IF(A150="","",MONTH(A150))</f>
        <v/>
      </c>
      <c r="H150" s="21">
        <f>IF(A150="","",A150-WEEKDAY(A150,2)+1)</f>
        <v/>
      </c>
    </row>
    <row r="151">
      <c r="A151" s="21">
        <f>IF(149&gt;DATE(Ajustes!$B$3,12,31)-DATE(Ajustes!$B$3,1,1),"",DATE(Ajustes!$B$3,1,1)+149)</f>
        <v/>
      </c>
      <c r="B151" s="22">
        <f>IF(A151="","",CHOOSE(WEEKDAY(A151,2),"Lunes","Martes","Miércoles","Jueves","Viernes","Sábado","Domingo"))</f>
        <v/>
      </c>
      <c r="C151" s="23" t="n"/>
      <c r="D151" s="17" t="n"/>
      <c r="E151" s="22">
        <f>IF(A151="","",IF(OR(COUNTIF(Ajustes!$A$11:$A$40,A151)&gt;0,AND(Ajustes!$B$6="Sí",WEEKDAY(A151,2)=7)),"Sí",""))</f>
        <v/>
      </c>
      <c r="F151" s="24">
        <f>IF(E151="Sí",N(C151),0)</f>
        <v/>
      </c>
      <c r="G151" s="22">
        <f>IF(A151="","",MONTH(A151))</f>
        <v/>
      </c>
      <c r="H151" s="21">
        <f>IF(A151="","",A151-WEEKDAY(A151,2)+1)</f>
        <v/>
      </c>
    </row>
    <row r="152">
      <c r="A152" s="21">
        <f>IF(150&gt;DATE(Ajustes!$B$3,12,31)-DATE(Ajustes!$B$3,1,1),"",DATE(Ajustes!$B$3,1,1)+150)</f>
        <v/>
      </c>
      <c r="B152" s="22">
        <f>IF(A152="","",CHOOSE(WEEKDAY(A152,2),"Lunes","Martes","Miércoles","Jueves","Viernes","Sábado","Domingo"))</f>
        <v/>
      </c>
      <c r="C152" s="23" t="n"/>
      <c r="D152" s="17" t="n"/>
      <c r="E152" s="22">
        <f>IF(A152="","",IF(OR(COUNTIF(Ajustes!$A$11:$A$40,A152)&gt;0,AND(Ajustes!$B$6="Sí",WEEKDAY(A152,2)=7)),"Sí",""))</f>
        <v/>
      </c>
      <c r="F152" s="24">
        <f>IF(E152="Sí",N(C152),0)</f>
        <v/>
      </c>
      <c r="G152" s="22">
        <f>IF(A152="","",MONTH(A152))</f>
        <v/>
      </c>
      <c r="H152" s="21">
        <f>IF(A152="","",A152-WEEKDAY(A152,2)+1)</f>
        <v/>
      </c>
    </row>
    <row r="153">
      <c r="A153" s="21">
        <f>IF(151&gt;DATE(Ajustes!$B$3,12,31)-DATE(Ajustes!$B$3,1,1),"",DATE(Ajustes!$B$3,1,1)+151)</f>
        <v/>
      </c>
      <c r="B153" s="22">
        <f>IF(A153="","",CHOOSE(WEEKDAY(A153,2),"Lunes","Martes","Miércoles","Jueves","Viernes","Sábado","Domingo"))</f>
        <v/>
      </c>
      <c r="C153" s="23" t="n"/>
      <c r="D153" s="17" t="n"/>
      <c r="E153" s="22">
        <f>IF(A153="","",IF(OR(COUNTIF(Ajustes!$A$11:$A$40,A153)&gt;0,AND(Ajustes!$B$6="Sí",WEEKDAY(A153,2)=7)),"Sí",""))</f>
        <v/>
      </c>
      <c r="F153" s="24">
        <f>IF(E153="Sí",N(C153),0)</f>
        <v/>
      </c>
      <c r="G153" s="22">
        <f>IF(A153="","",MONTH(A153))</f>
        <v/>
      </c>
      <c r="H153" s="21">
        <f>IF(A153="","",A153-WEEKDAY(A153,2)+1)</f>
        <v/>
      </c>
    </row>
    <row r="154">
      <c r="A154" s="21">
        <f>IF(152&gt;DATE(Ajustes!$B$3,12,31)-DATE(Ajustes!$B$3,1,1),"",DATE(Ajustes!$B$3,1,1)+152)</f>
        <v/>
      </c>
      <c r="B154" s="22">
        <f>IF(A154="","",CHOOSE(WEEKDAY(A154,2),"Lunes","Martes","Miércoles","Jueves","Viernes","Sábado","Domingo"))</f>
        <v/>
      </c>
      <c r="C154" s="23" t="n"/>
      <c r="D154" s="17" t="n"/>
      <c r="E154" s="22">
        <f>IF(A154="","",IF(OR(COUNTIF(Ajustes!$A$11:$A$40,A154)&gt;0,AND(Ajustes!$B$6="Sí",WEEKDAY(A154,2)=7)),"Sí",""))</f>
        <v/>
      </c>
      <c r="F154" s="24">
        <f>IF(E154="Sí",N(C154),0)</f>
        <v/>
      </c>
      <c r="G154" s="22">
        <f>IF(A154="","",MONTH(A154))</f>
        <v/>
      </c>
      <c r="H154" s="21">
        <f>IF(A154="","",A154-WEEKDAY(A154,2)+1)</f>
        <v/>
      </c>
    </row>
    <row r="155">
      <c r="A155" s="21">
        <f>IF(153&gt;DATE(Ajustes!$B$3,12,31)-DATE(Ajustes!$B$3,1,1),"",DATE(Ajustes!$B$3,1,1)+153)</f>
        <v/>
      </c>
      <c r="B155" s="22">
        <f>IF(A155="","",CHOOSE(WEEKDAY(A155,2),"Lunes","Martes","Miércoles","Jueves","Viernes","Sábado","Domingo"))</f>
        <v/>
      </c>
      <c r="C155" s="23" t="n"/>
      <c r="D155" s="17" t="n"/>
      <c r="E155" s="22">
        <f>IF(A155="","",IF(OR(COUNTIF(Ajustes!$A$11:$A$40,A155)&gt;0,AND(Ajustes!$B$6="Sí",WEEKDAY(A155,2)=7)),"Sí",""))</f>
        <v/>
      </c>
      <c r="F155" s="24">
        <f>IF(E155="Sí",N(C155),0)</f>
        <v/>
      </c>
      <c r="G155" s="22">
        <f>IF(A155="","",MONTH(A155))</f>
        <v/>
      </c>
      <c r="H155" s="21">
        <f>IF(A155="","",A155-WEEKDAY(A155,2)+1)</f>
        <v/>
      </c>
    </row>
    <row r="156">
      <c r="A156" s="21">
        <f>IF(154&gt;DATE(Ajustes!$B$3,12,31)-DATE(Ajustes!$B$3,1,1),"",DATE(Ajustes!$B$3,1,1)+154)</f>
        <v/>
      </c>
      <c r="B156" s="22">
        <f>IF(A156="","",CHOOSE(WEEKDAY(A156,2),"Lunes","Martes","Miércoles","Jueves","Viernes","Sábado","Domingo"))</f>
        <v/>
      </c>
      <c r="C156" s="23" t="n"/>
      <c r="D156" s="17" t="n"/>
      <c r="E156" s="22">
        <f>IF(A156="","",IF(OR(COUNTIF(Ajustes!$A$11:$A$40,A156)&gt;0,AND(Ajustes!$B$6="Sí",WEEKDAY(A156,2)=7)),"Sí",""))</f>
        <v/>
      </c>
      <c r="F156" s="24">
        <f>IF(E156="Sí",N(C156),0)</f>
        <v/>
      </c>
      <c r="G156" s="22">
        <f>IF(A156="","",MONTH(A156))</f>
        <v/>
      </c>
      <c r="H156" s="21">
        <f>IF(A156="","",A156-WEEKDAY(A156,2)+1)</f>
        <v/>
      </c>
    </row>
    <row r="157">
      <c r="A157" s="21">
        <f>IF(155&gt;DATE(Ajustes!$B$3,12,31)-DATE(Ajustes!$B$3,1,1),"",DATE(Ajustes!$B$3,1,1)+155)</f>
        <v/>
      </c>
      <c r="B157" s="22">
        <f>IF(A157="","",CHOOSE(WEEKDAY(A157,2),"Lunes","Martes","Miércoles","Jueves","Viernes","Sábado","Domingo"))</f>
        <v/>
      </c>
      <c r="C157" s="23" t="n"/>
      <c r="D157" s="17" t="n"/>
      <c r="E157" s="22">
        <f>IF(A157="","",IF(OR(COUNTIF(Ajustes!$A$11:$A$40,A157)&gt;0,AND(Ajustes!$B$6="Sí",WEEKDAY(A157,2)=7)),"Sí",""))</f>
        <v/>
      </c>
      <c r="F157" s="24">
        <f>IF(E157="Sí",N(C157),0)</f>
        <v/>
      </c>
      <c r="G157" s="22">
        <f>IF(A157="","",MONTH(A157))</f>
        <v/>
      </c>
      <c r="H157" s="21">
        <f>IF(A157="","",A157-WEEKDAY(A157,2)+1)</f>
        <v/>
      </c>
    </row>
    <row r="158">
      <c r="A158" s="21">
        <f>IF(156&gt;DATE(Ajustes!$B$3,12,31)-DATE(Ajustes!$B$3,1,1),"",DATE(Ajustes!$B$3,1,1)+156)</f>
        <v/>
      </c>
      <c r="B158" s="22">
        <f>IF(A158="","",CHOOSE(WEEKDAY(A158,2),"Lunes","Martes","Miércoles","Jueves","Viernes","Sábado","Domingo"))</f>
        <v/>
      </c>
      <c r="C158" s="23" t="n"/>
      <c r="D158" s="17" t="n"/>
      <c r="E158" s="22">
        <f>IF(A158="","",IF(OR(COUNTIF(Ajustes!$A$11:$A$40,A158)&gt;0,AND(Ajustes!$B$6="Sí",WEEKDAY(A158,2)=7)),"Sí",""))</f>
        <v/>
      </c>
      <c r="F158" s="24">
        <f>IF(E158="Sí",N(C158),0)</f>
        <v/>
      </c>
      <c r="G158" s="22">
        <f>IF(A158="","",MONTH(A158))</f>
        <v/>
      </c>
      <c r="H158" s="21">
        <f>IF(A158="","",A158-WEEKDAY(A158,2)+1)</f>
        <v/>
      </c>
    </row>
    <row r="159">
      <c r="A159" s="21">
        <f>IF(157&gt;DATE(Ajustes!$B$3,12,31)-DATE(Ajustes!$B$3,1,1),"",DATE(Ajustes!$B$3,1,1)+157)</f>
        <v/>
      </c>
      <c r="B159" s="22">
        <f>IF(A159="","",CHOOSE(WEEKDAY(A159,2),"Lunes","Martes","Miércoles","Jueves","Viernes","Sábado","Domingo"))</f>
        <v/>
      </c>
      <c r="C159" s="23" t="n"/>
      <c r="D159" s="17" t="n"/>
      <c r="E159" s="22">
        <f>IF(A159="","",IF(OR(COUNTIF(Ajustes!$A$11:$A$40,A159)&gt;0,AND(Ajustes!$B$6="Sí",WEEKDAY(A159,2)=7)),"Sí",""))</f>
        <v/>
      </c>
      <c r="F159" s="24">
        <f>IF(E159="Sí",N(C159),0)</f>
        <v/>
      </c>
      <c r="G159" s="22">
        <f>IF(A159="","",MONTH(A159))</f>
        <v/>
      </c>
      <c r="H159" s="21">
        <f>IF(A159="","",A159-WEEKDAY(A159,2)+1)</f>
        <v/>
      </c>
    </row>
    <row r="160">
      <c r="A160" s="21">
        <f>IF(158&gt;DATE(Ajustes!$B$3,12,31)-DATE(Ajustes!$B$3,1,1),"",DATE(Ajustes!$B$3,1,1)+158)</f>
        <v/>
      </c>
      <c r="B160" s="22">
        <f>IF(A160="","",CHOOSE(WEEKDAY(A160,2),"Lunes","Martes","Miércoles","Jueves","Viernes","Sábado","Domingo"))</f>
        <v/>
      </c>
      <c r="C160" s="23" t="n"/>
      <c r="D160" s="17" t="n"/>
      <c r="E160" s="22">
        <f>IF(A160="","",IF(OR(COUNTIF(Ajustes!$A$11:$A$40,A160)&gt;0,AND(Ajustes!$B$6="Sí",WEEKDAY(A160,2)=7)),"Sí",""))</f>
        <v/>
      </c>
      <c r="F160" s="24">
        <f>IF(E160="Sí",N(C160),0)</f>
        <v/>
      </c>
      <c r="G160" s="22">
        <f>IF(A160="","",MONTH(A160))</f>
        <v/>
      </c>
      <c r="H160" s="21">
        <f>IF(A160="","",A160-WEEKDAY(A160,2)+1)</f>
        <v/>
      </c>
    </row>
    <row r="161">
      <c r="A161" s="21">
        <f>IF(159&gt;DATE(Ajustes!$B$3,12,31)-DATE(Ajustes!$B$3,1,1),"",DATE(Ajustes!$B$3,1,1)+159)</f>
        <v/>
      </c>
      <c r="B161" s="22">
        <f>IF(A161="","",CHOOSE(WEEKDAY(A161,2),"Lunes","Martes","Miércoles","Jueves","Viernes","Sábado","Domingo"))</f>
        <v/>
      </c>
      <c r="C161" s="23" t="n"/>
      <c r="D161" s="17" t="n"/>
      <c r="E161" s="22">
        <f>IF(A161="","",IF(OR(COUNTIF(Ajustes!$A$11:$A$40,A161)&gt;0,AND(Ajustes!$B$6="Sí",WEEKDAY(A161,2)=7)),"Sí",""))</f>
        <v/>
      </c>
      <c r="F161" s="24">
        <f>IF(E161="Sí",N(C161),0)</f>
        <v/>
      </c>
      <c r="G161" s="22">
        <f>IF(A161="","",MONTH(A161))</f>
        <v/>
      </c>
      <c r="H161" s="21">
        <f>IF(A161="","",A161-WEEKDAY(A161,2)+1)</f>
        <v/>
      </c>
    </row>
    <row r="162">
      <c r="A162" s="21">
        <f>IF(160&gt;DATE(Ajustes!$B$3,12,31)-DATE(Ajustes!$B$3,1,1),"",DATE(Ajustes!$B$3,1,1)+160)</f>
        <v/>
      </c>
      <c r="B162" s="22">
        <f>IF(A162="","",CHOOSE(WEEKDAY(A162,2),"Lunes","Martes","Miércoles","Jueves","Viernes","Sábado","Domingo"))</f>
        <v/>
      </c>
      <c r="C162" s="23" t="n"/>
      <c r="D162" s="17" t="n"/>
      <c r="E162" s="22">
        <f>IF(A162="","",IF(OR(COUNTIF(Ajustes!$A$11:$A$40,A162)&gt;0,AND(Ajustes!$B$6="Sí",WEEKDAY(A162,2)=7)),"Sí",""))</f>
        <v/>
      </c>
      <c r="F162" s="24">
        <f>IF(E162="Sí",N(C162),0)</f>
        <v/>
      </c>
      <c r="G162" s="22">
        <f>IF(A162="","",MONTH(A162))</f>
        <v/>
      </c>
      <c r="H162" s="21">
        <f>IF(A162="","",A162-WEEKDAY(A162,2)+1)</f>
        <v/>
      </c>
    </row>
    <row r="163">
      <c r="A163" s="21">
        <f>IF(161&gt;DATE(Ajustes!$B$3,12,31)-DATE(Ajustes!$B$3,1,1),"",DATE(Ajustes!$B$3,1,1)+161)</f>
        <v/>
      </c>
      <c r="B163" s="22">
        <f>IF(A163="","",CHOOSE(WEEKDAY(A163,2),"Lunes","Martes","Miércoles","Jueves","Viernes","Sábado","Domingo"))</f>
        <v/>
      </c>
      <c r="C163" s="23" t="n"/>
      <c r="D163" s="17" t="n"/>
      <c r="E163" s="22">
        <f>IF(A163="","",IF(OR(COUNTIF(Ajustes!$A$11:$A$40,A163)&gt;0,AND(Ajustes!$B$6="Sí",WEEKDAY(A163,2)=7)),"Sí",""))</f>
        <v/>
      </c>
      <c r="F163" s="24">
        <f>IF(E163="Sí",N(C163),0)</f>
        <v/>
      </c>
      <c r="G163" s="22">
        <f>IF(A163="","",MONTH(A163))</f>
        <v/>
      </c>
      <c r="H163" s="21">
        <f>IF(A163="","",A163-WEEKDAY(A163,2)+1)</f>
        <v/>
      </c>
    </row>
    <row r="164">
      <c r="A164" s="21">
        <f>IF(162&gt;DATE(Ajustes!$B$3,12,31)-DATE(Ajustes!$B$3,1,1),"",DATE(Ajustes!$B$3,1,1)+162)</f>
        <v/>
      </c>
      <c r="B164" s="22">
        <f>IF(A164="","",CHOOSE(WEEKDAY(A164,2),"Lunes","Martes","Miércoles","Jueves","Viernes","Sábado","Domingo"))</f>
        <v/>
      </c>
      <c r="C164" s="23" t="n"/>
      <c r="D164" s="17" t="n"/>
      <c r="E164" s="22">
        <f>IF(A164="","",IF(OR(COUNTIF(Ajustes!$A$11:$A$40,A164)&gt;0,AND(Ajustes!$B$6="Sí",WEEKDAY(A164,2)=7)),"Sí",""))</f>
        <v/>
      </c>
      <c r="F164" s="24">
        <f>IF(E164="Sí",N(C164),0)</f>
        <v/>
      </c>
      <c r="G164" s="22">
        <f>IF(A164="","",MONTH(A164))</f>
        <v/>
      </c>
      <c r="H164" s="21">
        <f>IF(A164="","",A164-WEEKDAY(A164,2)+1)</f>
        <v/>
      </c>
    </row>
    <row r="165">
      <c r="A165" s="21">
        <f>IF(163&gt;DATE(Ajustes!$B$3,12,31)-DATE(Ajustes!$B$3,1,1),"",DATE(Ajustes!$B$3,1,1)+163)</f>
        <v/>
      </c>
      <c r="B165" s="22">
        <f>IF(A165="","",CHOOSE(WEEKDAY(A165,2),"Lunes","Martes","Miércoles","Jueves","Viernes","Sábado","Domingo"))</f>
        <v/>
      </c>
      <c r="C165" s="23" t="n"/>
      <c r="D165" s="17" t="n"/>
      <c r="E165" s="22">
        <f>IF(A165="","",IF(OR(COUNTIF(Ajustes!$A$11:$A$40,A165)&gt;0,AND(Ajustes!$B$6="Sí",WEEKDAY(A165,2)=7)),"Sí",""))</f>
        <v/>
      </c>
      <c r="F165" s="24">
        <f>IF(E165="Sí",N(C165),0)</f>
        <v/>
      </c>
      <c r="G165" s="22">
        <f>IF(A165="","",MONTH(A165))</f>
        <v/>
      </c>
      <c r="H165" s="21">
        <f>IF(A165="","",A165-WEEKDAY(A165,2)+1)</f>
        <v/>
      </c>
    </row>
    <row r="166">
      <c r="A166" s="21">
        <f>IF(164&gt;DATE(Ajustes!$B$3,12,31)-DATE(Ajustes!$B$3,1,1),"",DATE(Ajustes!$B$3,1,1)+164)</f>
        <v/>
      </c>
      <c r="B166" s="22">
        <f>IF(A166="","",CHOOSE(WEEKDAY(A166,2),"Lunes","Martes","Miércoles","Jueves","Viernes","Sábado","Domingo"))</f>
        <v/>
      </c>
      <c r="C166" s="23" t="n"/>
      <c r="D166" s="17" t="n"/>
      <c r="E166" s="22">
        <f>IF(A166="","",IF(OR(COUNTIF(Ajustes!$A$11:$A$40,A166)&gt;0,AND(Ajustes!$B$6="Sí",WEEKDAY(A166,2)=7)),"Sí",""))</f>
        <v/>
      </c>
      <c r="F166" s="24">
        <f>IF(E166="Sí",N(C166),0)</f>
        <v/>
      </c>
      <c r="G166" s="22">
        <f>IF(A166="","",MONTH(A166))</f>
        <v/>
      </c>
      <c r="H166" s="21">
        <f>IF(A166="","",A166-WEEKDAY(A166,2)+1)</f>
        <v/>
      </c>
    </row>
    <row r="167">
      <c r="A167" s="21">
        <f>IF(165&gt;DATE(Ajustes!$B$3,12,31)-DATE(Ajustes!$B$3,1,1),"",DATE(Ajustes!$B$3,1,1)+165)</f>
        <v/>
      </c>
      <c r="B167" s="22">
        <f>IF(A167="","",CHOOSE(WEEKDAY(A167,2),"Lunes","Martes","Miércoles","Jueves","Viernes","Sábado","Domingo"))</f>
        <v/>
      </c>
      <c r="C167" s="23" t="n"/>
      <c r="D167" s="17" t="n"/>
      <c r="E167" s="22">
        <f>IF(A167="","",IF(OR(COUNTIF(Ajustes!$A$11:$A$40,A167)&gt;0,AND(Ajustes!$B$6="Sí",WEEKDAY(A167,2)=7)),"Sí",""))</f>
        <v/>
      </c>
      <c r="F167" s="24">
        <f>IF(E167="Sí",N(C167),0)</f>
        <v/>
      </c>
      <c r="G167" s="22">
        <f>IF(A167="","",MONTH(A167))</f>
        <v/>
      </c>
      <c r="H167" s="21">
        <f>IF(A167="","",A167-WEEKDAY(A167,2)+1)</f>
        <v/>
      </c>
    </row>
    <row r="168">
      <c r="A168" s="21">
        <f>IF(166&gt;DATE(Ajustes!$B$3,12,31)-DATE(Ajustes!$B$3,1,1),"",DATE(Ajustes!$B$3,1,1)+166)</f>
        <v/>
      </c>
      <c r="B168" s="22">
        <f>IF(A168="","",CHOOSE(WEEKDAY(A168,2),"Lunes","Martes","Miércoles","Jueves","Viernes","Sábado","Domingo"))</f>
        <v/>
      </c>
      <c r="C168" s="23" t="n"/>
      <c r="D168" s="17" t="n"/>
      <c r="E168" s="22">
        <f>IF(A168="","",IF(OR(COUNTIF(Ajustes!$A$11:$A$40,A168)&gt;0,AND(Ajustes!$B$6="Sí",WEEKDAY(A168,2)=7)),"Sí",""))</f>
        <v/>
      </c>
      <c r="F168" s="24">
        <f>IF(E168="Sí",N(C168),0)</f>
        <v/>
      </c>
      <c r="G168" s="22">
        <f>IF(A168="","",MONTH(A168))</f>
        <v/>
      </c>
      <c r="H168" s="21">
        <f>IF(A168="","",A168-WEEKDAY(A168,2)+1)</f>
        <v/>
      </c>
    </row>
    <row r="169">
      <c r="A169" s="21">
        <f>IF(167&gt;DATE(Ajustes!$B$3,12,31)-DATE(Ajustes!$B$3,1,1),"",DATE(Ajustes!$B$3,1,1)+167)</f>
        <v/>
      </c>
      <c r="B169" s="22">
        <f>IF(A169="","",CHOOSE(WEEKDAY(A169,2),"Lunes","Martes","Miércoles","Jueves","Viernes","Sábado","Domingo"))</f>
        <v/>
      </c>
      <c r="C169" s="23" t="n"/>
      <c r="D169" s="17" t="n"/>
      <c r="E169" s="22">
        <f>IF(A169="","",IF(OR(COUNTIF(Ajustes!$A$11:$A$40,A169)&gt;0,AND(Ajustes!$B$6="Sí",WEEKDAY(A169,2)=7)),"Sí",""))</f>
        <v/>
      </c>
      <c r="F169" s="24">
        <f>IF(E169="Sí",N(C169),0)</f>
        <v/>
      </c>
      <c r="G169" s="22">
        <f>IF(A169="","",MONTH(A169))</f>
        <v/>
      </c>
      <c r="H169" s="21">
        <f>IF(A169="","",A169-WEEKDAY(A169,2)+1)</f>
        <v/>
      </c>
    </row>
    <row r="170">
      <c r="A170" s="21">
        <f>IF(168&gt;DATE(Ajustes!$B$3,12,31)-DATE(Ajustes!$B$3,1,1),"",DATE(Ajustes!$B$3,1,1)+168)</f>
        <v/>
      </c>
      <c r="B170" s="22">
        <f>IF(A170="","",CHOOSE(WEEKDAY(A170,2),"Lunes","Martes","Miércoles","Jueves","Viernes","Sábado","Domingo"))</f>
        <v/>
      </c>
      <c r="C170" s="23" t="n"/>
      <c r="D170" s="17" t="n"/>
      <c r="E170" s="22">
        <f>IF(A170="","",IF(OR(COUNTIF(Ajustes!$A$11:$A$40,A170)&gt;0,AND(Ajustes!$B$6="Sí",WEEKDAY(A170,2)=7)),"Sí",""))</f>
        <v/>
      </c>
      <c r="F170" s="24">
        <f>IF(E170="Sí",N(C170),0)</f>
        <v/>
      </c>
      <c r="G170" s="22">
        <f>IF(A170="","",MONTH(A170))</f>
        <v/>
      </c>
      <c r="H170" s="21">
        <f>IF(A170="","",A170-WEEKDAY(A170,2)+1)</f>
        <v/>
      </c>
    </row>
    <row r="171">
      <c r="A171" s="21">
        <f>IF(169&gt;DATE(Ajustes!$B$3,12,31)-DATE(Ajustes!$B$3,1,1),"",DATE(Ajustes!$B$3,1,1)+169)</f>
        <v/>
      </c>
      <c r="B171" s="22">
        <f>IF(A171="","",CHOOSE(WEEKDAY(A171,2),"Lunes","Martes","Miércoles","Jueves","Viernes","Sábado","Domingo"))</f>
        <v/>
      </c>
      <c r="C171" s="23" t="n"/>
      <c r="D171" s="17" t="n"/>
      <c r="E171" s="22">
        <f>IF(A171="","",IF(OR(COUNTIF(Ajustes!$A$11:$A$40,A171)&gt;0,AND(Ajustes!$B$6="Sí",WEEKDAY(A171,2)=7)),"Sí",""))</f>
        <v/>
      </c>
      <c r="F171" s="24">
        <f>IF(E171="Sí",N(C171),0)</f>
        <v/>
      </c>
      <c r="G171" s="22">
        <f>IF(A171="","",MONTH(A171))</f>
        <v/>
      </c>
      <c r="H171" s="21">
        <f>IF(A171="","",A171-WEEKDAY(A171,2)+1)</f>
        <v/>
      </c>
    </row>
    <row r="172">
      <c r="A172" s="21">
        <f>IF(170&gt;DATE(Ajustes!$B$3,12,31)-DATE(Ajustes!$B$3,1,1),"",DATE(Ajustes!$B$3,1,1)+170)</f>
        <v/>
      </c>
      <c r="B172" s="22">
        <f>IF(A172="","",CHOOSE(WEEKDAY(A172,2),"Lunes","Martes","Miércoles","Jueves","Viernes","Sábado","Domingo"))</f>
        <v/>
      </c>
      <c r="C172" s="23" t="n"/>
      <c r="D172" s="17" t="n"/>
      <c r="E172" s="22">
        <f>IF(A172="","",IF(OR(COUNTIF(Ajustes!$A$11:$A$40,A172)&gt;0,AND(Ajustes!$B$6="Sí",WEEKDAY(A172,2)=7)),"Sí",""))</f>
        <v/>
      </c>
      <c r="F172" s="24">
        <f>IF(E172="Sí",N(C172),0)</f>
        <v/>
      </c>
      <c r="G172" s="22">
        <f>IF(A172="","",MONTH(A172))</f>
        <v/>
      </c>
      <c r="H172" s="21">
        <f>IF(A172="","",A172-WEEKDAY(A172,2)+1)</f>
        <v/>
      </c>
    </row>
    <row r="173">
      <c r="A173" s="21">
        <f>IF(171&gt;DATE(Ajustes!$B$3,12,31)-DATE(Ajustes!$B$3,1,1),"",DATE(Ajustes!$B$3,1,1)+171)</f>
        <v/>
      </c>
      <c r="B173" s="22">
        <f>IF(A173="","",CHOOSE(WEEKDAY(A173,2),"Lunes","Martes","Miércoles","Jueves","Viernes","Sábado","Domingo"))</f>
        <v/>
      </c>
      <c r="C173" s="23" t="n"/>
      <c r="D173" s="17" t="n"/>
      <c r="E173" s="22">
        <f>IF(A173="","",IF(OR(COUNTIF(Ajustes!$A$11:$A$40,A173)&gt;0,AND(Ajustes!$B$6="Sí",WEEKDAY(A173,2)=7)),"Sí",""))</f>
        <v/>
      </c>
      <c r="F173" s="24">
        <f>IF(E173="Sí",N(C173),0)</f>
        <v/>
      </c>
      <c r="G173" s="22">
        <f>IF(A173="","",MONTH(A173))</f>
        <v/>
      </c>
      <c r="H173" s="21">
        <f>IF(A173="","",A173-WEEKDAY(A173,2)+1)</f>
        <v/>
      </c>
    </row>
    <row r="174">
      <c r="A174" s="21">
        <f>IF(172&gt;DATE(Ajustes!$B$3,12,31)-DATE(Ajustes!$B$3,1,1),"",DATE(Ajustes!$B$3,1,1)+172)</f>
        <v/>
      </c>
      <c r="B174" s="22">
        <f>IF(A174="","",CHOOSE(WEEKDAY(A174,2),"Lunes","Martes","Miércoles","Jueves","Viernes","Sábado","Domingo"))</f>
        <v/>
      </c>
      <c r="C174" s="23" t="n"/>
      <c r="D174" s="17" t="n"/>
      <c r="E174" s="22">
        <f>IF(A174="","",IF(OR(COUNTIF(Ajustes!$A$11:$A$40,A174)&gt;0,AND(Ajustes!$B$6="Sí",WEEKDAY(A174,2)=7)),"Sí",""))</f>
        <v/>
      </c>
      <c r="F174" s="24">
        <f>IF(E174="Sí",N(C174),0)</f>
        <v/>
      </c>
      <c r="G174" s="22">
        <f>IF(A174="","",MONTH(A174))</f>
        <v/>
      </c>
      <c r="H174" s="21">
        <f>IF(A174="","",A174-WEEKDAY(A174,2)+1)</f>
        <v/>
      </c>
    </row>
    <row r="175">
      <c r="A175" s="21">
        <f>IF(173&gt;DATE(Ajustes!$B$3,12,31)-DATE(Ajustes!$B$3,1,1),"",DATE(Ajustes!$B$3,1,1)+173)</f>
        <v/>
      </c>
      <c r="B175" s="22">
        <f>IF(A175="","",CHOOSE(WEEKDAY(A175,2),"Lunes","Martes","Miércoles","Jueves","Viernes","Sábado","Domingo"))</f>
        <v/>
      </c>
      <c r="C175" s="23" t="n"/>
      <c r="D175" s="17" t="n"/>
      <c r="E175" s="22">
        <f>IF(A175="","",IF(OR(COUNTIF(Ajustes!$A$11:$A$40,A175)&gt;0,AND(Ajustes!$B$6="Sí",WEEKDAY(A175,2)=7)),"Sí",""))</f>
        <v/>
      </c>
      <c r="F175" s="24">
        <f>IF(E175="Sí",N(C175),0)</f>
        <v/>
      </c>
      <c r="G175" s="22">
        <f>IF(A175="","",MONTH(A175))</f>
        <v/>
      </c>
      <c r="H175" s="21">
        <f>IF(A175="","",A175-WEEKDAY(A175,2)+1)</f>
        <v/>
      </c>
    </row>
    <row r="176">
      <c r="A176" s="21">
        <f>IF(174&gt;DATE(Ajustes!$B$3,12,31)-DATE(Ajustes!$B$3,1,1),"",DATE(Ajustes!$B$3,1,1)+174)</f>
        <v/>
      </c>
      <c r="B176" s="22">
        <f>IF(A176="","",CHOOSE(WEEKDAY(A176,2),"Lunes","Martes","Miércoles","Jueves","Viernes","Sábado","Domingo"))</f>
        <v/>
      </c>
      <c r="C176" s="23" t="n"/>
      <c r="D176" s="17" t="n"/>
      <c r="E176" s="22">
        <f>IF(A176="","",IF(OR(COUNTIF(Ajustes!$A$11:$A$40,A176)&gt;0,AND(Ajustes!$B$6="Sí",WEEKDAY(A176,2)=7)),"Sí",""))</f>
        <v/>
      </c>
      <c r="F176" s="24">
        <f>IF(E176="Sí",N(C176),0)</f>
        <v/>
      </c>
      <c r="G176" s="22">
        <f>IF(A176="","",MONTH(A176))</f>
        <v/>
      </c>
      <c r="H176" s="21">
        <f>IF(A176="","",A176-WEEKDAY(A176,2)+1)</f>
        <v/>
      </c>
    </row>
    <row r="177">
      <c r="A177" s="21">
        <f>IF(175&gt;DATE(Ajustes!$B$3,12,31)-DATE(Ajustes!$B$3,1,1),"",DATE(Ajustes!$B$3,1,1)+175)</f>
        <v/>
      </c>
      <c r="B177" s="22">
        <f>IF(A177="","",CHOOSE(WEEKDAY(A177,2),"Lunes","Martes","Miércoles","Jueves","Viernes","Sábado","Domingo"))</f>
        <v/>
      </c>
      <c r="C177" s="23" t="n"/>
      <c r="D177" s="17" t="n"/>
      <c r="E177" s="22">
        <f>IF(A177="","",IF(OR(COUNTIF(Ajustes!$A$11:$A$40,A177)&gt;0,AND(Ajustes!$B$6="Sí",WEEKDAY(A177,2)=7)),"Sí",""))</f>
        <v/>
      </c>
      <c r="F177" s="24">
        <f>IF(E177="Sí",N(C177),0)</f>
        <v/>
      </c>
      <c r="G177" s="22">
        <f>IF(A177="","",MONTH(A177))</f>
        <v/>
      </c>
      <c r="H177" s="21">
        <f>IF(A177="","",A177-WEEKDAY(A177,2)+1)</f>
        <v/>
      </c>
    </row>
    <row r="178">
      <c r="A178" s="21">
        <f>IF(176&gt;DATE(Ajustes!$B$3,12,31)-DATE(Ajustes!$B$3,1,1),"",DATE(Ajustes!$B$3,1,1)+176)</f>
        <v/>
      </c>
      <c r="B178" s="22">
        <f>IF(A178="","",CHOOSE(WEEKDAY(A178,2),"Lunes","Martes","Miércoles","Jueves","Viernes","Sábado","Domingo"))</f>
        <v/>
      </c>
      <c r="C178" s="23" t="n"/>
      <c r="D178" s="17" t="n"/>
      <c r="E178" s="22">
        <f>IF(A178="","",IF(OR(COUNTIF(Ajustes!$A$11:$A$40,A178)&gt;0,AND(Ajustes!$B$6="Sí",WEEKDAY(A178,2)=7)),"Sí",""))</f>
        <v/>
      </c>
      <c r="F178" s="24">
        <f>IF(E178="Sí",N(C178),0)</f>
        <v/>
      </c>
      <c r="G178" s="22">
        <f>IF(A178="","",MONTH(A178))</f>
        <v/>
      </c>
      <c r="H178" s="21">
        <f>IF(A178="","",A178-WEEKDAY(A178,2)+1)</f>
        <v/>
      </c>
    </row>
    <row r="179">
      <c r="A179" s="21">
        <f>IF(177&gt;DATE(Ajustes!$B$3,12,31)-DATE(Ajustes!$B$3,1,1),"",DATE(Ajustes!$B$3,1,1)+177)</f>
        <v/>
      </c>
      <c r="B179" s="22">
        <f>IF(A179="","",CHOOSE(WEEKDAY(A179,2),"Lunes","Martes","Miércoles","Jueves","Viernes","Sábado","Domingo"))</f>
        <v/>
      </c>
      <c r="C179" s="23" t="n"/>
      <c r="D179" s="17" t="n"/>
      <c r="E179" s="22">
        <f>IF(A179="","",IF(OR(COUNTIF(Ajustes!$A$11:$A$40,A179)&gt;0,AND(Ajustes!$B$6="Sí",WEEKDAY(A179,2)=7)),"Sí",""))</f>
        <v/>
      </c>
      <c r="F179" s="24">
        <f>IF(E179="Sí",N(C179),0)</f>
        <v/>
      </c>
      <c r="G179" s="22">
        <f>IF(A179="","",MONTH(A179))</f>
        <v/>
      </c>
      <c r="H179" s="21">
        <f>IF(A179="","",A179-WEEKDAY(A179,2)+1)</f>
        <v/>
      </c>
    </row>
    <row r="180">
      <c r="A180" s="21">
        <f>IF(178&gt;DATE(Ajustes!$B$3,12,31)-DATE(Ajustes!$B$3,1,1),"",DATE(Ajustes!$B$3,1,1)+178)</f>
        <v/>
      </c>
      <c r="B180" s="22">
        <f>IF(A180="","",CHOOSE(WEEKDAY(A180,2),"Lunes","Martes","Miércoles","Jueves","Viernes","Sábado","Domingo"))</f>
        <v/>
      </c>
      <c r="C180" s="23" t="n"/>
      <c r="D180" s="17" t="n"/>
      <c r="E180" s="22">
        <f>IF(A180="","",IF(OR(COUNTIF(Ajustes!$A$11:$A$40,A180)&gt;0,AND(Ajustes!$B$6="Sí",WEEKDAY(A180,2)=7)),"Sí",""))</f>
        <v/>
      </c>
      <c r="F180" s="24">
        <f>IF(E180="Sí",N(C180),0)</f>
        <v/>
      </c>
      <c r="G180" s="22">
        <f>IF(A180="","",MONTH(A180))</f>
        <v/>
      </c>
      <c r="H180" s="21">
        <f>IF(A180="","",A180-WEEKDAY(A180,2)+1)</f>
        <v/>
      </c>
    </row>
    <row r="181">
      <c r="A181" s="21">
        <f>IF(179&gt;DATE(Ajustes!$B$3,12,31)-DATE(Ajustes!$B$3,1,1),"",DATE(Ajustes!$B$3,1,1)+179)</f>
        <v/>
      </c>
      <c r="B181" s="22">
        <f>IF(A181="","",CHOOSE(WEEKDAY(A181,2),"Lunes","Martes","Miércoles","Jueves","Viernes","Sábado","Domingo"))</f>
        <v/>
      </c>
      <c r="C181" s="23" t="n"/>
      <c r="D181" s="17" t="n"/>
      <c r="E181" s="22">
        <f>IF(A181="","",IF(OR(COUNTIF(Ajustes!$A$11:$A$40,A181)&gt;0,AND(Ajustes!$B$6="Sí",WEEKDAY(A181,2)=7)),"Sí",""))</f>
        <v/>
      </c>
      <c r="F181" s="24">
        <f>IF(E181="Sí",N(C181),0)</f>
        <v/>
      </c>
      <c r="G181" s="22">
        <f>IF(A181="","",MONTH(A181))</f>
        <v/>
      </c>
      <c r="H181" s="21">
        <f>IF(A181="","",A181-WEEKDAY(A181,2)+1)</f>
        <v/>
      </c>
    </row>
    <row r="182">
      <c r="A182" s="21">
        <f>IF(180&gt;DATE(Ajustes!$B$3,12,31)-DATE(Ajustes!$B$3,1,1),"",DATE(Ajustes!$B$3,1,1)+180)</f>
        <v/>
      </c>
      <c r="B182" s="22">
        <f>IF(A182="","",CHOOSE(WEEKDAY(A182,2),"Lunes","Martes","Miércoles","Jueves","Viernes","Sábado","Domingo"))</f>
        <v/>
      </c>
      <c r="C182" s="23" t="n"/>
      <c r="D182" s="17" t="n"/>
      <c r="E182" s="22">
        <f>IF(A182="","",IF(OR(COUNTIF(Ajustes!$A$11:$A$40,A182)&gt;0,AND(Ajustes!$B$6="Sí",WEEKDAY(A182,2)=7)),"Sí",""))</f>
        <v/>
      </c>
      <c r="F182" s="24">
        <f>IF(E182="Sí",N(C182),0)</f>
        <v/>
      </c>
      <c r="G182" s="22">
        <f>IF(A182="","",MONTH(A182))</f>
        <v/>
      </c>
      <c r="H182" s="21">
        <f>IF(A182="","",A182-WEEKDAY(A182,2)+1)</f>
        <v/>
      </c>
    </row>
    <row r="183">
      <c r="A183" s="21">
        <f>IF(181&gt;DATE(Ajustes!$B$3,12,31)-DATE(Ajustes!$B$3,1,1),"",DATE(Ajustes!$B$3,1,1)+181)</f>
        <v/>
      </c>
      <c r="B183" s="22">
        <f>IF(A183="","",CHOOSE(WEEKDAY(A183,2),"Lunes","Martes","Miércoles","Jueves","Viernes","Sábado","Domingo"))</f>
        <v/>
      </c>
      <c r="C183" s="23" t="n"/>
      <c r="D183" s="17" t="n"/>
      <c r="E183" s="22">
        <f>IF(A183="","",IF(OR(COUNTIF(Ajustes!$A$11:$A$40,A183)&gt;0,AND(Ajustes!$B$6="Sí",WEEKDAY(A183,2)=7)),"Sí",""))</f>
        <v/>
      </c>
      <c r="F183" s="24">
        <f>IF(E183="Sí",N(C183),0)</f>
        <v/>
      </c>
      <c r="G183" s="22">
        <f>IF(A183="","",MONTH(A183))</f>
        <v/>
      </c>
      <c r="H183" s="21">
        <f>IF(A183="","",A183-WEEKDAY(A183,2)+1)</f>
        <v/>
      </c>
    </row>
    <row r="184">
      <c r="A184" s="21">
        <f>IF(182&gt;DATE(Ajustes!$B$3,12,31)-DATE(Ajustes!$B$3,1,1),"",DATE(Ajustes!$B$3,1,1)+182)</f>
        <v/>
      </c>
      <c r="B184" s="22">
        <f>IF(A184="","",CHOOSE(WEEKDAY(A184,2),"Lunes","Martes","Miércoles","Jueves","Viernes","Sábado","Domingo"))</f>
        <v/>
      </c>
      <c r="C184" s="23" t="n"/>
      <c r="D184" s="17" t="n"/>
      <c r="E184" s="22">
        <f>IF(A184="","",IF(OR(COUNTIF(Ajustes!$A$11:$A$40,A184)&gt;0,AND(Ajustes!$B$6="Sí",WEEKDAY(A184,2)=7)),"Sí",""))</f>
        <v/>
      </c>
      <c r="F184" s="24">
        <f>IF(E184="Sí",N(C184),0)</f>
        <v/>
      </c>
      <c r="G184" s="22">
        <f>IF(A184="","",MONTH(A184))</f>
        <v/>
      </c>
      <c r="H184" s="21">
        <f>IF(A184="","",A184-WEEKDAY(A184,2)+1)</f>
        <v/>
      </c>
    </row>
    <row r="185">
      <c r="A185" s="21">
        <f>IF(183&gt;DATE(Ajustes!$B$3,12,31)-DATE(Ajustes!$B$3,1,1),"",DATE(Ajustes!$B$3,1,1)+183)</f>
        <v/>
      </c>
      <c r="B185" s="22">
        <f>IF(A185="","",CHOOSE(WEEKDAY(A185,2),"Lunes","Martes","Miércoles","Jueves","Viernes","Sábado","Domingo"))</f>
        <v/>
      </c>
      <c r="C185" s="23" t="n"/>
      <c r="D185" s="17" t="n"/>
      <c r="E185" s="22">
        <f>IF(A185="","",IF(OR(COUNTIF(Ajustes!$A$11:$A$40,A185)&gt;0,AND(Ajustes!$B$6="Sí",WEEKDAY(A185,2)=7)),"Sí",""))</f>
        <v/>
      </c>
      <c r="F185" s="24">
        <f>IF(E185="Sí",N(C185),0)</f>
        <v/>
      </c>
      <c r="G185" s="22">
        <f>IF(A185="","",MONTH(A185))</f>
        <v/>
      </c>
      <c r="H185" s="21">
        <f>IF(A185="","",A185-WEEKDAY(A185,2)+1)</f>
        <v/>
      </c>
    </row>
    <row r="186">
      <c r="A186" s="21">
        <f>IF(184&gt;DATE(Ajustes!$B$3,12,31)-DATE(Ajustes!$B$3,1,1),"",DATE(Ajustes!$B$3,1,1)+184)</f>
        <v/>
      </c>
      <c r="B186" s="22">
        <f>IF(A186="","",CHOOSE(WEEKDAY(A186,2),"Lunes","Martes","Miércoles","Jueves","Viernes","Sábado","Domingo"))</f>
        <v/>
      </c>
      <c r="C186" s="23" t="n"/>
      <c r="D186" s="17" t="n"/>
      <c r="E186" s="22">
        <f>IF(A186="","",IF(OR(COUNTIF(Ajustes!$A$11:$A$40,A186)&gt;0,AND(Ajustes!$B$6="Sí",WEEKDAY(A186,2)=7)),"Sí",""))</f>
        <v/>
      </c>
      <c r="F186" s="24">
        <f>IF(E186="Sí",N(C186),0)</f>
        <v/>
      </c>
      <c r="G186" s="22">
        <f>IF(A186="","",MONTH(A186))</f>
        <v/>
      </c>
      <c r="H186" s="21">
        <f>IF(A186="","",A186-WEEKDAY(A186,2)+1)</f>
        <v/>
      </c>
    </row>
    <row r="187">
      <c r="A187" s="21">
        <f>IF(185&gt;DATE(Ajustes!$B$3,12,31)-DATE(Ajustes!$B$3,1,1),"",DATE(Ajustes!$B$3,1,1)+185)</f>
        <v/>
      </c>
      <c r="B187" s="22">
        <f>IF(A187="","",CHOOSE(WEEKDAY(A187,2),"Lunes","Martes","Miércoles","Jueves","Viernes","Sábado","Domingo"))</f>
        <v/>
      </c>
      <c r="C187" s="23" t="n"/>
      <c r="D187" s="17" t="n"/>
      <c r="E187" s="22">
        <f>IF(A187="","",IF(OR(COUNTIF(Ajustes!$A$11:$A$40,A187)&gt;0,AND(Ajustes!$B$6="Sí",WEEKDAY(A187,2)=7)),"Sí",""))</f>
        <v/>
      </c>
      <c r="F187" s="24">
        <f>IF(E187="Sí",N(C187),0)</f>
        <v/>
      </c>
      <c r="G187" s="22">
        <f>IF(A187="","",MONTH(A187))</f>
        <v/>
      </c>
      <c r="H187" s="21">
        <f>IF(A187="","",A187-WEEKDAY(A187,2)+1)</f>
        <v/>
      </c>
    </row>
    <row r="188">
      <c r="A188" s="21">
        <f>IF(186&gt;DATE(Ajustes!$B$3,12,31)-DATE(Ajustes!$B$3,1,1),"",DATE(Ajustes!$B$3,1,1)+186)</f>
        <v/>
      </c>
      <c r="B188" s="22">
        <f>IF(A188="","",CHOOSE(WEEKDAY(A188,2),"Lunes","Martes","Miércoles","Jueves","Viernes","Sábado","Domingo"))</f>
        <v/>
      </c>
      <c r="C188" s="23" t="n"/>
      <c r="D188" s="17" t="n"/>
      <c r="E188" s="22">
        <f>IF(A188="","",IF(OR(COUNTIF(Ajustes!$A$11:$A$40,A188)&gt;0,AND(Ajustes!$B$6="Sí",WEEKDAY(A188,2)=7)),"Sí",""))</f>
        <v/>
      </c>
      <c r="F188" s="24">
        <f>IF(E188="Sí",N(C188),0)</f>
        <v/>
      </c>
      <c r="G188" s="22">
        <f>IF(A188="","",MONTH(A188))</f>
        <v/>
      </c>
      <c r="H188" s="21">
        <f>IF(A188="","",A188-WEEKDAY(A188,2)+1)</f>
        <v/>
      </c>
    </row>
    <row r="189">
      <c r="A189" s="21">
        <f>IF(187&gt;DATE(Ajustes!$B$3,12,31)-DATE(Ajustes!$B$3,1,1),"",DATE(Ajustes!$B$3,1,1)+187)</f>
        <v/>
      </c>
      <c r="B189" s="22">
        <f>IF(A189="","",CHOOSE(WEEKDAY(A189,2),"Lunes","Martes","Miércoles","Jueves","Viernes","Sábado","Domingo"))</f>
        <v/>
      </c>
      <c r="C189" s="23" t="n"/>
      <c r="D189" s="17" t="n"/>
      <c r="E189" s="22">
        <f>IF(A189="","",IF(OR(COUNTIF(Ajustes!$A$11:$A$40,A189)&gt;0,AND(Ajustes!$B$6="Sí",WEEKDAY(A189,2)=7)),"Sí",""))</f>
        <v/>
      </c>
      <c r="F189" s="24">
        <f>IF(E189="Sí",N(C189),0)</f>
        <v/>
      </c>
      <c r="G189" s="22">
        <f>IF(A189="","",MONTH(A189))</f>
        <v/>
      </c>
      <c r="H189" s="21">
        <f>IF(A189="","",A189-WEEKDAY(A189,2)+1)</f>
        <v/>
      </c>
    </row>
    <row r="190">
      <c r="A190" s="21">
        <f>IF(188&gt;DATE(Ajustes!$B$3,12,31)-DATE(Ajustes!$B$3,1,1),"",DATE(Ajustes!$B$3,1,1)+188)</f>
        <v/>
      </c>
      <c r="B190" s="22">
        <f>IF(A190="","",CHOOSE(WEEKDAY(A190,2),"Lunes","Martes","Miércoles","Jueves","Viernes","Sábado","Domingo"))</f>
        <v/>
      </c>
      <c r="C190" s="23" t="n"/>
      <c r="D190" s="17" t="n"/>
      <c r="E190" s="22">
        <f>IF(A190="","",IF(OR(COUNTIF(Ajustes!$A$11:$A$40,A190)&gt;0,AND(Ajustes!$B$6="Sí",WEEKDAY(A190,2)=7)),"Sí",""))</f>
        <v/>
      </c>
      <c r="F190" s="24">
        <f>IF(E190="Sí",N(C190),0)</f>
        <v/>
      </c>
      <c r="G190" s="22">
        <f>IF(A190="","",MONTH(A190))</f>
        <v/>
      </c>
      <c r="H190" s="21">
        <f>IF(A190="","",A190-WEEKDAY(A190,2)+1)</f>
        <v/>
      </c>
    </row>
    <row r="191">
      <c r="A191" s="21">
        <f>IF(189&gt;DATE(Ajustes!$B$3,12,31)-DATE(Ajustes!$B$3,1,1),"",DATE(Ajustes!$B$3,1,1)+189)</f>
        <v/>
      </c>
      <c r="B191" s="22">
        <f>IF(A191="","",CHOOSE(WEEKDAY(A191,2),"Lunes","Martes","Miércoles","Jueves","Viernes","Sábado","Domingo"))</f>
        <v/>
      </c>
      <c r="C191" s="23" t="n"/>
      <c r="D191" s="17" t="n"/>
      <c r="E191" s="22">
        <f>IF(A191="","",IF(OR(COUNTIF(Ajustes!$A$11:$A$40,A191)&gt;0,AND(Ajustes!$B$6="Sí",WEEKDAY(A191,2)=7)),"Sí",""))</f>
        <v/>
      </c>
      <c r="F191" s="24">
        <f>IF(E191="Sí",N(C191),0)</f>
        <v/>
      </c>
      <c r="G191" s="22">
        <f>IF(A191="","",MONTH(A191))</f>
        <v/>
      </c>
      <c r="H191" s="21">
        <f>IF(A191="","",A191-WEEKDAY(A191,2)+1)</f>
        <v/>
      </c>
    </row>
    <row r="192">
      <c r="A192" s="21">
        <f>IF(190&gt;DATE(Ajustes!$B$3,12,31)-DATE(Ajustes!$B$3,1,1),"",DATE(Ajustes!$B$3,1,1)+190)</f>
        <v/>
      </c>
      <c r="B192" s="22">
        <f>IF(A192="","",CHOOSE(WEEKDAY(A192,2),"Lunes","Martes","Miércoles","Jueves","Viernes","Sábado","Domingo"))</f>
        <v/>
      </c>
      <c r="C192" s="23" t="n"/>
      <c r="D192" s="17" t="n"/>
      <c r="E192" s="22">
        <f>IF(A192="","",IF(OR(COUNTIF(Ajustes!$A$11:$A$40,A192)&gt;0,AND(Ajustes!$B$6="Sí",WEEKDAY(A192,2)=7)),"Sí",""))</f>
        <v/>
      </c>
      <c r="F192" s="24">
        <f>IF(E192="Sí",N(C192),0)</f>
        <v/>
      </c>
      <c r="G192" s="22">
        <f>IF(A192="","",MONTH(A192))</f>
        <v/>
      </c>
      <c r="H192" s="21">
        <f>IF(A192="","",A192-WEEKDAY(A192,2)+1)</f>
        <v/>
      </c>
    </row>
    <row r="193">
      <c r="A193" s="21">
        <f>IF(191&gt;DATE(Ajustes!$B$3,12,31)-DATE(Ajustes!$B$3,1,1),"",DATE(Ajustes!$B$3,1,1)+191)</f>
        <v/>
      </c>
      <c r="B193" s="22">
        <f>IF(A193="","",CHOOSE(WEEKDAY(A193,2),"Lunes","Martes","Miércoles","Jueves","Viernes","Sábado","Domingo"))</f>
        <v/>
      </c>
      <c r="C193" s="23" t="n"/>
      <c r="D193" s="17" t="n"/>
      <c r="E193" s="22">
        <f>IF(A193="","",IF(OR(COUNTIF(Ajustes!$A$11:$A$40,A193)&gt;0,AND(Ajustes!$B$6="Sí",WEEKDAY(A193,2)=7)),"Sí",""))</f>
        <v/>
      </c>
      <c r="F193" s="24">
        <f>IF(E193="Sí",N(C193),0)</f>
        <v/>
      </c>
      <c r="G193" s="22">
        <f>IF(A193="","",MONTH(A193))</f>
        <v/>
      </c>
      <c r="H193" s="21">
        <f>IF(A193="","",A193-WEEKDAY(A193,2)+1)</f>
        <v/>
      </c>
    </row>
    <row r="194">
      <c r="A194" s="21">
        <f>IF(192&gt;DATE(Ajustes!$B$3,12,31)-DATE(Ajustes!$B$3,1,1),"",DATE(Ajustes!$B$3,1,1)+192)</f>
        <v/>
      </c>
      <c r="B194" s="22">
        <f>IF(A194="","",CHOOSE(WEEKDAY(A194,2),"Lunes","Martes","Miércoles","Jueves","Viernes","Sábado","Domingo"))</f>
        <v/>
      </c>
      <c r="C194" s="23" t="n"/>
      <c r="D194" s="17" t="n"/>
      <c r="E194" s="22">
        <f>IF(A194="","",IF(OR(COUNTIF(Ajustes!$A$11:$A$40,A194)&gt;0,AND(Ajustes!$B$6="Sí",WEEKDAY(A194,2)=7)),"Sí",""))</f>
        <v/>
      </c>
      <c r="F194" s="24">
        <f>IF(E194="Sí",N(C194),0)</f>
        <v/>
      </c>
      <c r="G194" s="22">
        <f>IF(A194="","",MONTH(A194))</f>
        <v/>
      </c>
      <c r="H194" s="21">
        <f>IF(A194="","",A194-WEEKDAY(A194,2)+1)</f>
        <v/>
      </c>
    </row>
    <row r="195">
      <c r="A195" s="21">
        <f>IF(193&gt;DATE(Ajustes!$B$3,12,31)-DATE(Ajustes!$B$3,1,1),"",DATE(Ajustes!$B$3,1,1)+193)</f>
        <v/>
      </c>
      <c r="B195" s="22">
        <f>IF(A195="","",CHOOSE(WEEKDAY(A195,2),"Lunes","Martes","Miércoles","Jueves","Viernes","Sábado","Domingo"))</f>
        <v/>
      </c>
      <c r="C195" s="23" t="n"/>
      <c r="D195" s="17" t="n"/>
      <c r="E195" s="22">
        <f>IF(A195="","",IF(OR(COUNTIF(Ajustes!$A$11:$A$40,A195)&gt;0,AND(Ajustes!$B$6="Sí",WEEKDAY(A195,2)=7)),"Sí",""))</f>
        <v/>
      </c>
      <c r="F195" s="24">
        <f>IF(E195="Sí",N(C195),0)</f>
        <v/>
      </c>
      <c r="G195" s="22">
        <f>IF(A195="","",MONTH(A195))</f>
        <v/>
      </c>
      <c r="H195" s="21">
        <f>IF(A195="","",A195-WEEKDAY(A195,2)+1)</f>
        <v/>
      </c>
    </row>
    <row r="196">
      <c r="A196" s="21">
        <f>IF(194&gt;DATE(Ajustes!$B$3,12,31)-DATE(Ajustes!$B$3,1,1),"",DATE(Ajustes!$B$3,1,1)+194)</f>
        <v/>
      </c>
      <c r="B196" s="22">
        <f>IF(A196="","",CHOOSE(WEEKDAY(A196,2),"Lunes","Martes","Miércoles","Jueves","Viernes","Sábado","Domingo"))</f>
        <v/>
      </c>
      <c r="C196" s="23" t="n"/>
      <c r="D196" s="17" t="n"/>
      <c r="E196" s="22">
        <f>IF(A196="","",IF(OR(COUNTIF(Ajustes!$A$11:$A$40,A196)&gt;0,AND(Ajustes!$B$6="Sí",WEEKDAY(A196,2)=7)),"Sí",""))</f>
        <v/>
      </c>
      <c r="F196" s="24">
        <f>IF(E196="Sí",N(C196),0)</f>
        <v/>
      </c>
      <c r="G196" s="22">
        <f>IF(A196="","",MONTH(A196))</f>
        <v/>
      </c>
      <c r="H196" s="21">
        <f>IF(A196="","",A196-WEEKDAY(A196,2)+1)</f>
        <v/>
      </c>
    </row>
    <row r="197">
      <c r="A197" s="21">
        <f>IF(195&gt;DATE(Ajustes!$B$3,12,31)-DATE(Ajustes!$B$3,1,1),"",DATE(Ajustes!$B$3,1,1)+195)</f>
        <v/>
      </c>
      <c r="B197" s="22">
        <f>IF(A197="","",CHOOSE(WEEKDAY(A197,2),"Lunes","Martes","Miércoles","Jueves","Viernes","Sábado","Domingo"))</f>
        <v/>
      </c>
      <c r="C197" s="23" t="n"/>
      <c r="D197" s="17" t="n"/>
      <c r="E197" s="22">
        <f>IF(A197="","",IF(OR(COUNTIF(Ajustes!$A$11:$A$40,A197)&gt;0,AND(Ajustes!$B$6="Sí",WEEKDAY(A197,2)=7)),"Sí",""))</f>
        <v/>
      </c>
      <c r="F197" s="24">
        <f>IF(E197="Sí",N(C197),0)</f>
        <v/>
      </c>
      <c r="G197" s="22">
        <f>IF(A197="","",MONTH(A197))</f>
        <v/>
      </c>
      <c r="H197" s="21">
        <f>IF(A197="","",A197-WEEKDAY(A197,2)+1)</f>
        <v/>
      </c>
    </row>
    <row r="198">
      <c r="A198" s="21">
        <f>IF(196&gt;DATE(Ajustes!$B$3,12,31)-DATE(Ajustes!$B$3,1,1),"",DATE(Ajustes!$B$3,1,1)+196)</f>
        <v/>
      </c>
      <c r="B198" s="22">
        <f>IF(A198="","",CHOOSE(WEEKDAY(A198,2),"Lunes","Martes","Miércoles","Jueves","Viernes","Sábado","Domingo"))</f>
        <v/>
      </c>
      <c r="C198" s="23" t="n"/>
      <c r="D198" s="17" t="n"/>
      <c r="E198" s="22">
        <f>IF(A198="","",IF(OR(COUNTIF(Ajustes!$A$11:$A$40,A198)&gt;0,AND(Ajustes!$B$6="Sí",WEEKDAY(A198,2)=7)),"Sí",""))</f>
        <v/>
      </c>
      <c r="F198" s="24">
        <f>IF(E198="Sí",N(C198),0)</f>
        <v/>
      </c>
      <c r="G198" s="22">
        <f>IF(A198="","",MONTH(A198))</f>
        <v/>
      </c>
      <c r="H198" s="21">
        <f>IF(A198="","",A198-WEEKDAY(A198,2)+1)</f>
        <v/>
      </c>
    </row>
    <row r="199">
      <c r="A199" s="21">
        <f>IF(197&gt;DATE(Ajustes!$B$3,12,31)-DATE(Ajustes!$B$3,1,1),"",DATE(Ajustes!$B$3,1,1)+197)</f>
        <v/>
      </c>
      <c r="B199" s="22">
        <f>IF(A199="","",CHOOSE(WEEKDAY(A199,2),"Lunes","Martes","Miércoles","Jueves","Viernes","Sábado","Domingo"))</f>
        <v/>
      </c>
      <c r="C199" s="23" t="n"/>
      <c r="D199" s="17" t="n"/>
      <c r="E199" s="22">
        <f>IF(A199="","",IF(OR(COUNTIF(Ajustes!$A$11:$A$40,A199)&gt;0,AND(Ajustes!$B$6="Sí",WEEKDAY(A199,2)=7)),"Sí",""))</f>
        <v/>
      </c>
      <c r="F199" s="24">
        <f>IF(E199="Sí",N(C199),0)</f>
        <v/>
      </c>
      <c r="G199" s="22">
        <f>IF(A199="","",MONTH(A199))</f>
        <v/>
      </c>
      <c r="H199" s="21">
        <f>IF(A199="","",A199-WEEKDAY(A199,2)+1)</f>
        <v/>
      </c>
    </row>
    <row r="200">
      <c r="A200" s="21">
        <f>IF(198&gt;DATE(Ajustes!$B$3,12,31)-DATE(Ajustes!$B$3,1,1),"",DATE(Ajustes!$B$3,1,1)+198)</f>
        <v/>
      </c>
      <c r="B200" s="22">
        <f>IF(A200="","",CHOOSE(WEEKDAY(A200,2),"Lunes","Martes","Miércoles","Jueves","Viernes","Sábado","Domingo"))</f>
        <v/>
      </c>
      <c r="C200" s="23" t="n"/>
      <c r="D200" s="17" t="n"/>
      <c r="E200" s="22">
        <f>IF(A200="","",IF(OR(COUNTIF(Ajustes!$A$11:$A$40,A200)&gt;0,AND(Ajustes!$B$6="Sí",WEEKDAY(A200,2)=7)),"Sí",""))</f>
        <v/>
      </c>
      <c r="F200" s="24">
        <f>IF(E200="Sí",N(C200),0)</f>
        <v/>
      </c>
      <c r="G200" s="22">
        <f>IF(A200="","",MONTH(A200))</f>
        <v/>
      </c>
      <c r="H200" s="21">
        <f>IF(A200="","",A200-WEEKDAY(A200,2)+1)</f>
        <v/>
      </c>
    </row>
    <row r="201">
      <c r="A201" s="21">
        <f>IF(199&gt;DATE(Ajustes!$B$3,12,31)-DATE(Ajustes!$B$3,1,1),"",DATE(Ajustes!$B$3,1,1)+199)</f>
        <v/>
      </c>
      <c r="B201" s="22">
        <f>IF(A201="","",CHOOSE(WEEKDAY(A201,2),"Lunes","Martes","Miércoles","Jueves","Viernes","Sábado","Domingo"))</f>
        <v/>
      </c>
      <c r="C201" s="23" t="n"/>
      <c r="D201" s="17" t="n"/>
      <c r="E201" s="22">
        <f>IF(A201="","",IF(OR(COUNTIF(Ajustes!$A$11:$A$40,A201)&gt;0,AND(Ajustes!$B$6="Sí",WEEKDAY(A201,2)=7)),"Sí",""))</f>
        <v/>
      </c>
      <c r="F201" s="24">
        <f>IF(E201="Sí",N(C201),0)</f>
        <v/>
      </c>
      <c r="G201" s="22">
        <f>IF(A201="","",MONTH(A201))</f>
        <v/>
      </c>
      <c r="H201" s="21">
        <f>IF(A201="","",A201-WEEKDAY(A201,2)+1)</f>
        <v/>
      </c>
    </row>
    <row r="202">
      <c r="A202" s="21">
        <f>IF(200&gt;DATE(Ajustes!$B$3,12,31)-DATE(Ajustes!$B$3,1,1),"",DATE(Ajustes!$B$3,1,1)+200)</f>
        <v/>
      </c>
      <c r="B202" s="22">
        <f>IF(A202="","",CHOOSE(WEEKDAY(A202,2),"Lunes","Martes","Miércoles","Jueves","Viernes","Sábado","Domingo"))</f>
        <v/>
      </c>
      <c r="C202" s="23" t="n"/>
      <c r="D202" s="17" t="n"/>
      <c r="E202" s="22">
        <f>IF(A202="","",IF(OR(COUNTIF(Ajustes!$A$11:$A$40,A202)&gt;0,AND(Ajustes!$B$6="Sí",WEEKDAY(A202,2)=7)),"Sí",""))</f>
        <v/>
      </c>
      <c r="F202" s="24">
        <f>IF(E202="Sí",N(C202),0)</f>
        <v/>
      </c>
      <c r="G202" s="22">
        <f>IF(A202="","",MONTH(A202))</f>
        <v/>
      </c>
      <c r="H202" s="21">
        <f>IF(A202="","",A202-WEEKDAY(A202,2)+1)</f>
        <v/>
      </c>
    </row>
    <row r="203">
      <c r="A203" s="21">
        <f>IF(201&gt;DATE(Ajustes!$B$3,12,31)-DATE(Ajustes!$B$3,1,1),"",DATE(Ajustes!$B$3,1,1)+201)</f>
        <v/>
      </c>
      <c r="B203" s="22">
        <f>IF(A203="","",CHOOSE(WEEKDAY(A203,2),"Lunes","Martes","Miércoles","Jueves","Viernes","Sábado","Domingo"))</f>
        <v/>
      </c>
      <c r="C203" s="23" t="n"/>
      <c r="D203" s="17" t="n"/>
      <c r="E203" s="22">
        <f>IF(A203="","",IF(OR(COUNTIF(Ajustes!$A$11:$A$40,A203)&gt;0,AND(Ajustes!$B$6="Sí",WEEKDAY(A203,2)=7)),"Sí",""))</f>
        <v/>
      </c>
      <c r="F203" s="24">
        <f>IF(E203="Sí",N(C203),0)</f>
        <v/>
      </c>
      <c r="G203" s="22">
        <f>IF(A203="","",MONTH(A203))</f>
        <v/>
      </c>
      <c r="H203" s="21">
        <f>IF(A203="","",A203-WEEKDAY(A203,2)+1)</f>
        <v/>
      </c>
    </row>
    <row r="204">
      <c r="A204" s="21">
        <f>IF(202&gt;DATE(Ajustes!$B$3,12,31)-DATE(Ajustes!$B$3,1,1),"",DATE(Ajustes!$B$3,1,1)+202)</f>
        <v/>
      </c>
      <c r="B204" s="22">
        <f>IF(A204="","",CHOOSE(WEEKDAY(A204,2),"Lunes","Martes","Miércoles","Jueves","Viernes","Sábado","Domingo"))</f>
        <v/>
      </c>
      <c r="C204" s="23" t="n"/>
      <c r="D204" s="17" t="n"/>
      <c r="E204" s="22">
        <f>IF(A204="","",IF(OR(COUNTIF(Ajustes!$A$11:$A$40,A204)&gt;0,AND(Ajustes!$B$6="Sí",WEEKDAY(A204,2)=7)),"Sí",""))</f>
        <v/>
      </c>
      <c r="F204" s="24">
        <f>IF(E204="Sí",N(C204),0)</f>
        <v/>
      </c>
      <c r="G204" s="22">
        <f>IF(A204="","",MONTH(A204))</f>
        <v/>
      </c>
      <c r="H204" s="21">
        <f>IF(A204="","",A204-WEEKDAY(A204,2)+1)</f>
        <v/>
      </c>
    </row>
    <row r="205">
      <c r="A205" s="21">
        <f>IF(203&gt;DATE(Ajustes!$B$3,12,31)-DATE(Ajustes!$B$3,1,1),"",DATE(Ajustes!$B$3,1,1)+203)</f>
        <v/>
      </c>
      <c r="B205" s="22">
        <f>IF(A205="","",CHOOSE(WEEKDAY(A205,2),"Lunes","Martes","Miércoles","Jueves","Viernes","Sábado","Domingo"))</f>
        <v/>
      </c>
      <c r="C205" s="23" t="n"/>
      <c r="D205" s="17" t="n"/>
      <c r="E205" s="22">
        <f>IF(A205="","",IF(OR(COUNTIF(Ajustes!$A$11:$A$40,A205)&gt;0,AND(Ajustes!$B$6="Sí",WEEKDAY(A205,2)=7)),"Sí",""))</f>
        <v/>
      </c>
      <c r="F205" s="24">
        <f>IF(E205="Sí",N(C205),0)</f>
        <v/>
      </c>
      <c r="G205" s="22">
        <f>IF(A205="","",MONTH(A205))</f>
        <v/>
      </c>
      <c r="H205" s="21">
        <f>IF(A205="","",A205-WEEKDAY(A205,2)+1)</f>
        <v/>
      </c>
    </row>
    <row r="206">
      <c r="A206" s="21">
        <f>IF(204&gt;DATE(Ajustes!$B$3,12,31)-DATE(Ajustes!$B$3,1,1),"",DATE(Ajustes!$B$3,1,1)+204)</f>
        <v/>
      </c>
      <c r="B206" s="22">
        <f>IF(A206="","",CHOOSE(WEEKDAY(A206,2),"Lunes","Martes","Miércoles","Jueves","Viernes","Sábado","Domingo"))</f>
        <v/>
      </c>
      <c r="C206" s="23" t="n"/>
      <c r="D206" s="17" t="n"/>
      <c r="E206" s="22">
        <f>IF(A206="","",IF(OR(COUNTIF(Ajustes!$A$11:$A$40,A206)&gt;0,AND(Ajustes!$B$6="Sí",WEEKDAY(A206,2)=7)),"Sí",""))</f>
        <v/>
      </c>
      <c r="F206" s="24">
        <f>IF(E206="Sí",N(C206),0)</f>
        <v/>
      </c>
      <c r="G206" s="22">
        <f>IF(A206="","",MONTH(A206))</f>
        <v/>
      </c>
      <c r="H206" s="21">
        <f>IF(A206="","",A206-WEEKDAY(A206,2)+1)</f>
        <v/>
      </c>
    </row>
    <row r="207">
      <c r="A207" s="21">
        <f>IF(205&gt;DATE(Ajustes!$B$3,12,31)-DATE(Ajustes!$B$3,1,1),"",DATE(Ajustes!$B$3,1,1)+205)</f>
        <v/>
      </c>
      <c r="B207" s="22">
        <f>IF(A207="","",CHOOSE(WEEKDAY(A207,2),"Lunes","Martes","Miércoles","Jueves","Viernes","Sábado","Domingo"))</f>
        <v/>
      </c>
      <c r="C207" s="23" t="n"/>
      <c r="D207" s="17" t="n"/>
      <c r="E207" s="22">
        <f>IF(A207="","",IF(OR(COUNTIF(Ajustes!$A$11:$A$40,A207)&gt;0,AND(Ajustes!$B$6="Sí",WEEKDAY(A207,2)=7)),"Sí",""))</f>
        <v/>
      </c>
      <c r="F207" s="24">
        <f>IF(E207="Sí",N(C207),0)</f>
        <v/>
      </c>
      <c r="G207" s="22">
        <f>IF(A207="","",MONTH(A207))</f>
        <v/>
      </c>
      <c r="H207" s="21">
        <f>IF(A207="","",A207-WEEKDAY(A207,2)+1)</f>
        <v/>
      </c>
    </row>
    <row r="208">
      <c r="A208" s="21">
        <f>IF(206&gt;DATE(Ajustes!$B$3,12,31)-DATE(Ajustes!$B$3,1,1),"",DATE(Ajustes!$B$3,1,1)+206)</f>
        <v/>
      </c>
      <c r="B208" s="22">
        <f>IF(A208="","",CHOOSE(WEEKDAY(A208,2),"Lunes","Martes","Miércoles","Jueves","Viernes","Sábado","Domingo"))</f>
        <v/>
      </c>
      <c r="C208" s="23" t="n"/>
      <c r="D208" s="17" t="n"/>
      <c r="E208" s="22">
        <f>IF(A208="","",IF(OR(COUNTIF(Ajustes!$A$11:$A$40,A208)&gt;0,AND(Ajustes!$B$6="Sí",WEEKDAY(A208,2)=7)),"Sí",""))</f>
        <v/>
      </c>
      <c r="F208" s="24">
        <f>IF(E208="Sí",N(C208),0)</f>
        <v/>
      </c>
      <c r="G208" s="22">
        <f>IF(A208="","",MONTH(A208))</f>
        <v/>
      </c>
      <c r="H208" s="21">
        <f>IF(A208="","",A208-WEEKDAY(A208,2)+1)</f>
        <v/>
      </c>
    </row>
    <row r="209">
      <c r="A209" s="21">
        <f>IF(207&gt;DATE(Ajustes!$B$3,12,31)-DATE(Ajustes!$B$3,1,1),"",DATE(Ajustes!$B$3,1,1)+207)</f>
        <v/>
      </c>
      <c r="B209" s="22">
        <f>IF(A209="","",CHOOSE(WEEKDAY(A209,2),"Lunes","Martes","Miércoles","Jueves","Viernes","Sábado","Domingo"))</f>
        <v/>
      </c>
      <c r="C209" s="23" t="n"/>
      <c r="D209" s="17" t="n"/>
      <c r="E209" s="22">
        <f>IF(A209="","",IF(OR(COUNTIF(Ajustes!$A$11:$A$40,A209)&gt;0,AND(Ajustes!$B$6="Sí",WEEKDAY(A209,2)=7)),"Sí",""))</f>
        <v/>
      </c>
      <c r="F209" s="24">
        <f>IF(E209="Sí",N(C209),0)</f>
        <v/>
      </c>
      <c r="G209" s="22">
        <f>IF(A209="","",MONTH(A209))</f>
        <v/>
      </c>
      <c r="H209" s="21">
        <f>IF(A209="","",A209-WEEKDAY(A209,2)+1)</f>
        <v/>
      </c>
    </row>
    <row r="210">
      <c r="A210" s="21">
        <f>IF(208&gt;DATE(Ajustes!$B$3,12,31)-DATE(Ajustes!$B$3,1,1),"",DATE(Ajustes!$B$3,1,1)+208)</f>
        <v/>
      </c>
      <c r="B210" s="22">
        <f>IF(A210="","",CHOOSE(WEEKDAY(A210,2),"Lunes","Martes","Miércoles","Jueves","Viernes","Sábado","Domingo"))</f>
        <v/>
      </c>
      <c r="C210" s="23" t="n"/>
      <c r="D210" s="17" t="n"/>
      <c r="E210" s="22">
        <f>IF(A210="","",IF(OR(COUNTIF(Ajustes!$A$11:$A$40,A210)&gt;0,AND(Ajustes!$B$6="Sí",WEEKDAY(A210,2)=7)),"Sí",""))</f>
        <v/>
      </c>
      <c r="F210" s="24">
        <f>IF(E210="Sí",N(C210),0)</f>
        <v/>
      </c>
      <c r="G210" s="22">
        <f>IF(A210="","",MONTH(A210))</f>
        <v/>
      </c>
      <c r="H210" s="21">
        <f>IF(A210="","",A210-WEEKDAY(A210,2)+1)</f>
        <v/>
      </c>
    </row>
    <row r="211">
      <c r="A211" s="21">
        <f>IF(209&gt;DATE(Ajustes!$B$3,12,31)-DATE(Ajustes!$B$3,1,1),"",DATE(Ajustes!$B$3,1,1)+209)</f>
        <v/>
      </c>
      <c r="B211" s="22">
        <f>IF(A211="","",CHOOSE(WEEKDAY(A211,2),"Lunes","Martes","Miércoles","Jueves","Viernes","Sábado","Domingo"))</f>
        <v/>
      </c>
      <c r="C211" s="23" t="n"/>
      <c r="D211" s="17" t="n"/>
      <c r="E211" s="22">
        <f>IF(A211="","",IF(OR(COUNTIF(Ajustes!$A$11:$A$40,A211)&gt;0,AND(Ajustes!$B$6="Sí",WEEKDAY(A211,2)=7)),"Sí",""))</f>
        <v/>
      </c>
      <c r="F211" s="24">
        <f>IF(E211="Sí",N(C211),0)</f>
        <v/>
      </c>
      <c r="G211" s="22">
        <f>IF(A211="","",MONTH(A211))</f>
        <v/>
      </c>
      <c r="H211" s="21">
        <f>IF(A211="","",A211-WEEKDAY(A211,2)+1)</f>
        <v/>
      </c>
    </row>
    <row r="212">
      <c r="A212" s="21">
        <f>IF(210&gt;DATE(Ajustes!$B$3,12,31)-DATE(Ajustes!$B$3,1,1),"",DATE(Ajustes!$B$3,1,1)+210)</f>
        <v/>
      </c>
      <c r="B212" s="22">
        <f>IF(A212="","",CHOOSE(WEEKDAY(A212,2),"Lunes","Martes","Miércoles","Jueves","Viernes","Sábado","Domingo"))</f>
        <v/>
      </c>
      <c r="C212" s="23" t="n"/>
      <c r="D212" s="17" t="n"/>
      <c r="E212" s="22">
        <f>IF(A212="","",IF(OR(COUNTIF(Ajustes!$A$11:$A$40,A212)&gt;0,AND(Ajustes!$B$6="Sí",WEEKDAY(A212,2)=7)),"Sí",""))</f>
        <v/>
      </c>
      <c r="F212" s="24">
        <f>IF(E212="Sí",N(C212),0)</f>
        <v/>
      </c>
      <c r="G212" s="22">
        <f>IF(A212="","",MONTH(A212))</f>
        <v/>
      </c>
      <c r="H212" s="21">
        <f>IF(A212="","",A212-WEEKDAY(A212,2)+1)</f>
        <v/>
      </c>
    </row>
    <row r="213">
      <c r="A213" s="21">
        <f>IF(211&gt;DATE(Ajustes!$B$3,12,31)-DATE(Ajustes!$B$3,1,1),"",DATE(Ajustes!$B$3,1,1)+211)</f>
        <v/>
      </c>
      <c r="B213" s="22">
        <f>IF(A213="","",CHOOSE(WEEKDAY(A213,2),"Lunes","Martes","Miércoles","Jueves","Viernes","Sábado","Domingo"))</f>
        <v/>
      </c>
      <c r="C213" s="23" t="n"/>
      <c r="D213" s="17" t="n"/>
      <c r="E213" s="22">
        <f>IF(A213="","",IF(OR(COUNTIF(Ajustes!$A$11:$A$40,A213)&gt;0,AND(Ajustes!$B$6="Sí",WEEKDAY(A213,2)=7)),"Sí",""))</f>
        <v/>
      </c>
      <c r="F213" s="24">
        <f>IF(E213="Sí",N(C213),0)</f>
        <v/>
      </c>
      <c r="G213" s="22">
        <f>IF(A213="","",MONTH(A213))</f>
        <v/>
      </c>
      <c r="H213" s="21">
        <f>IF(A213="","",A213-WEEKDAY(A213,2)+1)</f>
        <v/>
      </c>
    </row>
    <row r="214">
      <c r="A214" s="21">
        <f>IF(212&gt;DATE(Ajustes!$B$3,12,31)-DATE(Ajustes!$B$3,1,1),"",DATE(Ajustes!$B$3,1,1)+212)</f>
        <v/>
      </c>
      <c r="B214" s="22">
        <f>IF(A214="","",CHOOSE(WEEKDAY(A214,2),"Lunes","Martes","Miércoles","Jueves","Viernes","Sábado","Domingo"))</f>
        <v/>
      </c>
      <c r="C214" s="23" t="n"/>
      <c r="D214" s="17" t="n"/>
      <c r="E214" s="22">
        <f>IF(A214="","",IF(OR(COUNTIF(Ajustes!$A$11:$A$40,A214)&gt;0,AND(Ajustes!$B$6="Sí",WEEKDAY(A214,2)=7)),"Sí",""))</f>
        <v/>
      </c>
      <c r="F214" s="24">
        <f>IF(E214="Sí",N(C214),0)</f>
        <v/>
      </c>
      <c r="G214" s="22">
        <f>IF(A214="","",MONTH(A214))</f>
        <v/>
      </c>
      <c r="H214" s="21">
        <f>IF(A214="","",A214-WEEKDAY(A214,2)+1)</f>
        <v/>
      </c>
    </row>
    <row r="215">
      <c r="A215" s="21">
        <f>IF(213&gt;DATE(Ajustes!$B$3,12,31)-DATE(Ajustes!$B$3,1,1),"",DATE(Ajustes!$B$3,1,1)+213)</f>
        <v/>
      </c>
      <c r="B215" s="22">
        <f>IF(A215="","",CHOOSE(WEEKDAY(A215,2),"Lunes","Martes","Miércoles","Jueves","Viernes","Sábado","Domingo"))</f>
        <v/>
      </c>
      <c r="C215" s="23" t="n"/>
      <c r="D215" s="17" t="n"/>
      <c r="E215" s="22">
        <f>IF(A215="","",IF(OR(COUNTIF(Ajustes!$A$11:$A$40,A215)&gt;0,AND(Ajustes!$B$6="Sí",WEEKDAY(A215,2)=7)),"Sí",""))</f>
        <v/>
      </c>
      <c r="F215" s="24">
        <f>IF(E215="Sí",N(C215),0)</f>
        <v/>
      </c>
      <c r="G215" s="22">
        <f>IF(A215="","",MONTH(A215))</f>
        <v/>
      </c>
      <c r="H215" s="21">
        <f>IF(A215="","",A215-WEEKDAY(A215,2)+1)</f>
        <v/>
      </c>
    </row>
    <row r="216">
      <c r="A216" s="21">
        <f>IF(214&gt;DATE(Ajustes!$B$3,12,31)-DATE(Ajustes!$B$3,1,1),"",DATE(Ajustes!$B$3,1,1)+214)</f>
        <v/>
      </c>
      <c r="B216" s="22">
        <f>IF(A216="","",CHOOSE(WEEKDAY(A216,2),"Lunes","Martes","Miércoles","Jueves","Viernes","Sábado","Domingo"))</f>
        <v/>
      </c>
      <c r="C216" s="23" t="n"/>
      <c r="D216" s="17" t="n"/>
      <c r="E216" s="22">
        <f>IF(A216="","",IF(OR(COUNTIF(Ajustes!$A$11:$A$40,A216)&gt;0,AND(Ajustes!$B$6="Sí",WEEKDAY(A216,2)=7)),"Sí",""))</f>
        <v/>
      </c>
      <c r="F216" s="24">
        <f>IF(E216="Sí",N(C216),0)</f>
        <v/>
      </c>
      <c r="G216" s="22">
        <f>IF(A216="","",MONTH(A216))</f>
        <v/>
      </c>
      <c r="H216" s="21">
        <f>IF(A216="","",A216-WEEKDAY(A216,2)+1)</f>
        <v/>
      </c>
    </row>
    <row r="217">
      <c r="A217" s="21">
        <f>IF(215&gt;DATE(Ajustes!$B$3,12,31)-DATE(Ajustes!$B$3,1,1),"",DATE(Ajustes!$B$3,1,1)+215)</f>
        <v/>
      </c>
      <c r="B217" s="22">
        <f>IF(A217="","",CHOOSE(WEEKDAY(A217,2),"Lunes","Martes","Miércoles","Jueves","Viernes","Sábado","Domingo"))</f>
        <v/>
      </c>
      <c r="C217" s="23" t="n"/>
      <c r="D217" s="17" t="n"/>
      <c r="E217" s="22">
        <f>IF(A217="","",IF(OR(COUNTIF(Ajustes!$A$11:$A$40,A217)&gt;0,AND(Ajustes!$B$6="Sí",WEEKDAY(A217,2)=7)),"Sí",""))</f>
        <v/>
      </c>
      <c r="F217" s="24">
        <f>IF(E217="Sí",N(C217),0)</f>
        <v/>
      </c>
      <c r="G217" s="22">
        <f>IF(A217="","",MONTH(A217))</f>
        <v/>
      </c>
      <c r="H217" s="21">
        <f>IF(A217="","",A217-WEEKDAY(A217,2)+1)</f>
        <v/>
      </c>
    </row>
    <row r="218">
      <c r="A218" s="21">
        <f>IF(216&gt;DATE(Ajustes!$B$3,12,31)-DATE(Ajustes!$B$3,1,1),"",DATE(Ajustes!$B$3,1,1)+216)</f>
        <v/>
      </c>
      <c r="B218" s="22">
        <f>IF(A218="","",CHOOSE(WEEKDAY(A218,2),"Lunes","Martes","Miércoles","Jueves","Viernes","Sábado","Domingo"))</f>
        <v/>
      </c>
      <c r="C218" s="23" t="n"/>
      <c r="D218" s="17" t="n"/>
      <c r="E218" s="22">
        <f>IF(A218="","",IF(OR(COUNTIF(Ajustes!$A$11:$A$40,A218)&gt;0,AND(Ajustes!$B$6="Sí",WEEKDAY(A218,2)=7)),"Sí",""))</f>
        <v/>
      </c>
      <c r="F218" s="24">
        <f>IF(E218="Sí",N(C218),0)</f>
        <v/>
      </c>
      <c r="G218" s="22">
        <f>IF(A218="","",MONTH(A218))</f>
        <v/>
      </c>
      <c r="H218" s="21">
        <f>IF(A218="","",A218-WEEKDAY(A218,2)+1)</f>
        <v/>
      </c>
    </row>
    <row r="219">
      <c r="A219" s="21">
        <f>IF(217&gt;DATE(Ajustes!$B$3,12,31)-DATE(Ajustes!$B$3,1,1),"",DATE(Ajustes!$B$3,1,1)+217)</f>
        <v/>
      </c>
      <c r="B219" s="22">
        <f>IF(A219="","",CHOOSE(WEEKDAY(A219,2),"Lunes","Martes","Miércoles","Jueves","Viernes","Sábado","Domingo"))</f>
        <v/>
      </c>
      <c r="C219" s="23" t="n"/>
      <c r="D219" s="17" t="n"/>
      <c r="E219" s="22">
        <f>IF(A219="","",IF(OR(COUNTIF(Ajustes!$A$11:$A$40,A219)&gt;0,AND(Ajustes!$B$6="Sí",WEEKDAY(A219,2)=7)),"Sí",""))</f>
        <v/>
      </c>
      <c r="F219" s="24">
        <f>IF(E219="Sí",N(C219),0)</f>
        <v/>
      </c>
      <c r="G219" s="22">
        <f>IF(A219="","",MONTH(A219))</f>
        <v/>
      </c>
      <c r="H219" s="21">
        <f>IF(A219="","",A219-WEEKDAY(A219,2)+1)</f>
        <v/>
      </c>
    </row>
    <row r="220">
      <c r="A220" s="21">
        <f>IF(218&gt;DATE(Ajustes!$B$3,12,31)-DATE(Ajustes!$B$3,1,1),"",DATE(Ajustes!$B$3,1,1)+218)</f>
        <v/>
      </c>
      <c r="B220" s="22">
        <f>IF(A220="","",CHOOSE(WEEKDAY(A220,2),"Lunes","Martes","Miércoles","Jueves","Viernes","Sábado","Domingo"))</f>
        <v/>
      </c>
      <c r="C220" s="23" t="n"/>
      <c r="D220" s="17" t="n"/>
      <c r="E220" s="22">
        <f>IF(A220="","",IF(OR(COUNTIF(Ajustes!$A$11:$A$40,A220)&gt;0,AND(Ajustes!$B$6="Sí",WEEKDAY(A220,2)=7)),"Sí",""))</f>
        <v/>
      </c>
      <c r="F220" s="24">
        <f>IF(E220="Sí",N(C220),0)</f>
        <v/>
      </c>
      <c r="G220" s="22">
        <f>IF(A220="","",MONTH(A220))</f>
        <v/>
      </c>
      <c r="H220" s="21">
        <f>IF(A220="","",A220-WEEKDAY(A220,2)+1)</f>
        <v/>
      </c>
    </row>
    <row r="221">
      <c r="A221" s="21">
        <f>IF(219&gt;DATE(Ajustes!$B$3,12,31)-DATE(Ajustes!$B$3,1,1),"",DATE(Ajustes!$B$3,1,1)+219)</f>
        <v/>
      </c>
      <c r="B221" s="22">
        <f>IF(A221="","",CHOOSE(WEEKDAY(A221,2),"Lunes","Martes","Miércoles","Jueves","Viernes","Sábado","Domingo"))</f>
        <v/>
      </c>
      <c r="C221" s="23" t="n"/>
      <c r="D221" s="17" t="n"/>
      <c r="E221" s="22">
        <f>IF(A221="","",IF(OR(COUNTIF(Ajustes!$A$11:$A$40,A221)&gt;0,AND(Ajustes!$B$6="Sí",WEEKDAY(A221,2)=7)),"Sí",""))</f>
        <v/>
      </c>
      <c r="F221" s="24">
        <f>IF(E221="Sí",N(C221),0)</f>
        <v/>
      </c>
      <c r="G221" s="22">
        <f>IF(A221="","",MONTH(A221))</f>
        <v/>
      </c>
      <c r="H221" s="21">
        <f>IF(A221="","",A221-WEEKDAY(A221,2)+1)</f>
        <v/>
      </c>
    </row>
    <row r="222">
      <c r="A222" s="21">
        <f>IF(220&gt;DATE(Ajustes!$B$3,12,31)-DATE(Ajustes!$B$3,1,1),"",DATE(Ajustes!$B$3,1,1)+220)</f>
        <v/>
      </c>
      <c r="B222" s="22">
        <f>IF(A222="","",CHOOSE(WEEKDAY(A222,2),"Lunes","Martes","Miércoles","Jueves","Viernes","Sábado","Domingo"))</f>
        <v/>
      </c>
      <c r="C222" s="23" t="n"/>
      <c r="D222" s="17" t="n"/>
      <c r="E222" s="22">
        <f>IF(A222="","",IF(OR(COUNTIF(Ajustes!$A$11:$A$40,A222)&gt;0,AND(Ajustes!$B$6="Sí",WEEKDAY(A222,2)=7)),"Sí",""))</f>
        <v/>
      </c>
      <c r="F222" s="24">
        <f>IF(E222="Sí",N(C222),0)</f>
        <v/>
      </c>
      <c r="G222" s="22">
        <f>IF(A222="","",MONTH(A222))</f>
        <v/>
      </c>
      <c r="H222" s="21">
        <f>IF(A222="","",A222-WEEKDAY(A222,2)+1)</f>
        <v/>
      </c>
    </row>
    <row r="223">
      <c r="A223" s="21">
        <f>IF(221&gt;DATE(Ajustes!$B$3,12,31)-DATE(Ajustes!$B$3,1,1),"",DATE(Ajustes!$B$3,1,1)+221)</f>
        <v/>
      </c>
      <c r="B223" s="22">
        <f>IF(A223="","",CHOOSE(WEEKDAY(A223,2),"Lunes","Martes","Miércoles","Jueves","Viernes","Sábado","Domingo"))</f>
        <v/>
      </c>
      <c r="C223" s="23" t="n"/>
      <c r="D223" s="17" t="n"/>
      <c r="E223" s="22">
        <f>IF(A223="","",IF(OR(COUNTIF(Ajustes!$A$11:$A$40,A223)&gt;0,AND(Ajustes!$B$6="Sí",WEEKDAY(A223,2)=7)),"Sí",""))</f>
        <v/>
      </c>
      <c r="F223" s="24">
        <f>IF(E223="Sí",N(C223),0)</f>
        <v/>
      </c>
      <c r="G223" s="22">
        <f>IF(A223="","",MONTH(A223))</f>
        <v/>
      </c>
      <c r="H223" s="21">
        <f>IF(A223="","",A223-WEEKDAY(A223,2)+1)</f>
        <v/>
      </c>
    </row>
    <row r="224">
      <c r="A224" s="21">
        <f>IF(222&gt;DATE(Ajustes!$B$3,12,31)-DATE(Ajustes!$B$3,1,1),"",DATE(Ajustes!$B$3,1,1)+222)</f>
        <v/>
      </c>
      <c r="B224" s="22">
        <f>IF(A224="","",CHOOSE(WEEKDAY(A224,2),"Lunes","Martes","Miércoles","Jueves","Viernes","Sábado","Domingo"))</f>
        <v/>
      </c>
      <c r="C224" s="23" t="n"/>
      <c r="D224" s="17" t="n"/>
      <c r="E224" s="22">
        <f>IF(A224="","",IF(OR(COUNTIF(Ajustes!$A$11:$A$40,A224)&gt;0,AND(Ajustes!$B$6="Sí",WEEKDAY(A224,2)=7)),"Sí",""))</f>
        <v/>
      </c>
      <c r="F224" s="24">
        <f>IF(E224="Sí",N(C224),0)</f>
        <v/>
      </c>
      <c r="G224" s="22">
        <f>IF(A224="","",MONTH(A224))</f>
        <v/>
      </c>
      <c r="H224" s="21">
        <f>IF(A224="","",A224-WEEKDAY(A224,2)+1)</f>
        <v/>
      </c>
    </row>
    <row r="225">
      <c r="A225" s="21">
        <f>IF(223&gt;DATE(Ajustes!$B$3,12,31)-DATE(Ajustes!$B$3,1,1),"",DATE(Ajustes!$B$3,1,1)+223)</f>
        <v/>
      </c>
      <c r="B225" s="22">
        <f>IF(A225="","",CHOOSE(WEEKDAY(A225,2),"Lunes","Martes","Miércoles","Jueves","Viernes","Sábado","Domingo"))</f>
        <v/>
      </c>
      <c r="C225" s="23" t="n"/>
      <c r="D225" s="17" t="n"/>
      <c r="E225" s="22">
        <f>IF(A225="","",IF(OR(COUNTIF(Ajustes!$A$11:$A$40,A225)&gt;0,AND(Ajustes!$B$6="Sí",WEEKDAY(A225,2)=7)),"Sí",""))</f>
        <v/>
      </c>
      <c r="F225" s="24">
        <f>IF(E225="Sí",N(C225),0)</f>
        <v/>
      </c>
      <c r="G225" s="22">
        <f>IF(A225="","",MONTH(A225))</f>
        <v/>
      </c>
      <c r="H225" s="21">
        <f>IF(A225="","",A225-WEEKDAY(A225,2)+1)</f>
        <v/>
      </c>
    </row>
    <row r="226">
      <c r="A226" s="21">
        <f>IF(224&gt;DATE(Ajustes!$B$3,12,31)-DATE(Ajustes!$B$3,1,1),"",DATE(Ajustes!$B$3,1,1)+224)</f>
        <v/>
      </c>
      <c r="B226" s="22">
        <f>IF(A226="","",CHOOSE(WEEKDAY(A226,2),"Lunes","Martes","Miércoles","Jueves","Viernes","Sábado","Domingo"))</f>
        <v/>
      </c>
      <c r="C226" s="23" t="n"/>
      <c r="D226" s="17" t="n"/>
      <c r="E226" s="22">
        <f>IF(A226="","",IF(OR(COUNTIF(Ajustes!$A$11:$A$40,A226)&gt;0,AND(Ajustes!$B$6="Sí",WEEKDAY(A226,2)=7)),"Sí",""))</f>
        <v/>
      </c>
      <c r="F226" s="24">
        <f>IF(E226="Sí",N(C226),0)</f>
        <v/>
      </c>
      <c r="G226" s="22">
        <f>IF(A226="","",MONTH(A226))</f>
        <v/>
      </c>
      <c r="H226" s="21">
        <f>IF(A226="","",A226-WEEKDAY(A226,2)+1)</f>
        <v/>
      </c>
    </row>
    <row r="227">
      <c r="A227" s="21">
        <f>IF(225&gt;DATE(Ajustes!$B$3,12,31)-DATE(Ajustes!$B$3,1,1),"",DATE(Ajustes!$B$3,1,1)+225)</f>
        <v/>
      </c>
      <c r="B227" s="22">
        <f>IF(A227="","",CHOOSE(WEEKDAY(A227,2),"Lunes","Martes","Miércoles","Jueves","Viernes","Sábado","Domingo"))</f>
        <v/>
      </c>
      <c r="C227" s="23" t="n"/>
      <c r="D227" s="17" t="n"/>
      <c r="E227" s="22">
        <f>IF(A227="","",IF(OR(COUNTIF(Ajustes!$A$11:$A$40,A227)&gt;0,AND(Ajustes!$B$6="Sí",WEEKDAY(A227,2)=7)),"Sí",""))</f>
        <v/>
      </c>
      <c r="F227" s="24">
        <f>IF(E227="Sí",N(C227),0)</f>
        <v/>
      </c>
      <c r="G227" s="22">
        <f>IF(A227="","",MONTH(A227))</f>
        <v/>
      </c>
      <c r="H227" s="21">
        <f>IF(A227="","",A227-WEEKDAY(A227,2)+1)</f>
        <v/>
      </c>
    </row>
    <row r="228">
      <c r="A228" s="21">
        <f>IF(226&gt;DATE(Ajustes!$B$3,12,31)-DATE(Ajustes!$B$3,1,1),"",DATE(Ajustes!$B$3,1,1)+226)</f>
        <v/>
      </c>
      <c r="B228" s="22">
        <f>IF(A228="","",CHOOSE(WEEKDAY(A228,2),"Lunes","Martes","Miércoles","Jueves","Viernes","Sábado","Domingo"))</f>
        <v/>
      </c>
      <c r="C228" s="23" t="n"/>
      <c r="D228" s="17" t="n"/>
      <c r="E228" s="22">
        <f>IF(A228="","",IF(OR(COUNTIF(Ajustes!$A$11:$A$40,A228)&gt;0,AND(Ajustes!$B$6="Sí",WEEKDAY(A228,2)=7)),"Sí",""))</f>
        <v/>
      </c>
      <c r="F228" s="24">
        <f>IF(E228="Sí",N(C228),0)</f>
        <v/>
      </c>
      <c r="G228" s="22">
        <f>IF(A228="","",MONTH(A228))</f>
        <v/>
      </c>
      <c r="H228" s="21">
        <f>IF(A228="","",A228-WEEKDAY(A228,2)+1)</f>
        <v/>
      </c>
    </row>
    <row r="229">
      <c r="A229" s="21">
        <f>IF(227&gt;DATE(Ajustes!$B$3,12,31)-DATE(Ajustes!$B$3,1,1),"",DATE(Ajustes!$B$3,1,1)+227)</f>
        <v/>
      </c>
      <c r="B229" s="22">
        <f>IF(A229="","",CHOOSE(WEEKDAY(A229,2),"Lunes","Martes","Miércoles","Jueves","Viernes","Sábado","Domingo"))</f>
        <v/>
      </c>
      <c r="C229" s="23" t="n"/>
      <c r="D229" s="17" t="n"/>
      <c r="E229" s="22">
        <f>IF(A229="","",IF(OR(COUNTIF(Ajustes!$A$11:$A$40,A229)&gt;0,AND(Ajustes!$B$6="Sí",WEEKDAY(A229,2)=7)),"Sí",""))</f>
        <v/>
      </c>
      <c r="F229" s="24">
        <f>IF(E229="Sí",N(C229),0)</f>
        <v/>
      </c>
      <c r="G229" s="22">
        <f>IF(A229="","",MONTH(A229))</f>
        <v/>
      </c>
      <c r="H229" s="21">
        <f>IF(A229="","",A229-WEEKDAY(A229,2)+1)</f>
        <v/>
      </c>
    </row>
    <row r="230">
      <c r="A230" s="21">
        <f>IF(228&gt;DATE(Ajustes!$B$3,12,31)-DATE(Ajustes!$B$3,1,1),"",DATE(Ajustes!$B$3,1,1)+228)</f>
        <v/>
      </c>
      <c r="B230" s="22">
        <f>IF(A230="","",CHOOSE(WEEKDAY(A230,2),"Lunes","Martes","Miércoles","Jueves","Viernes","Sábado","Domingo"))</f>
        <v/>
      </c>
      <c r="C230" s="23" t="n"/>
      <c r="D230" s="17" t="n"/>
      <c r="E230" s="22">
        <f>IF(A230="","",IF(OR(COUNTIF(Ajustes!$A$11:$A$40,A230)&gt;0,AND(Ajustes!$B$6="Sí",WEEKDAY(A230,2)=7)),"Sí",""))</f>
        <v/>
      </c>
      <c r="F230" s="24">
        <f>IF(E230="Sí",N(C230),0)</f>
        <v/>
      </c>
      <c r="G230" s="22">
        <f>IF(A230="","",MONTH(A230))</f>
        <v/>
      </c>
      <c r="H230" s="21">
        <f>IF(A230="","",A230-WEEKDAY(A230,2)+1)</f>
        <v/>
      </c>
    </row>
    <row r="231">
      <c r="A231" s="21">
        <f>IF(229&gt;DATE(Ajustes!$B$3,12,31)-DATE(Ajustes!$B$3,1,1),"",DATE(Ajustes!$B$3,1,1)+229)</f>
        <v/>
      </c>
      <c r="B231" s="22">
        <f>IF(A231="","",CHOOSE(WEEKDAY(A231,2),"Lunes","Martes","Miércoles","Jueves","Viernes","Sábado","Domingo"))</f>
        <v/>
      </c>
      <c r="C231" s="23" t="n"/>
      <c r="D231" s="17" t="n"/>
      <c r="E231" s="22">
        <f>IF(A231="","",IF(OR(COUNTIF(Ajustes!$A$11:$A$40,A231)&gt;0,AND(Ajustes!$B$6="Sí",WEEKDAY(A231,2)=7)),"Sí",""))</f>
        <v/>
      </c>
      <c r="F231" s="24">
        <f>IF(E231="Sí",N(C231),0)</f>
        <v/>
      </c>
      <c r="G231" s="22">
        <f>IF(A231="","",MONTH(A231))</f>
        <v/>
      </c>
      <c r="H231" s="21">
        <f>IF(A231="","",A231-WEEKDAY(A231,2)+1)</f>
        <v/>
      </c>
    </row>
    <row r="232">
      <c r="A232" s="21">
        <f>IF(230&gt;DATE(Ajustes!$B$3,12,31)-DATE(Ajustes!$B$3,1,1),"",DATE(Ajustes!$B$3,1,1)+230)</f>
        <v/>
      </c>
      <c r="B232" s="22">
        <f>IF(A232="","",CHOOSE(WEEKDAY(A232,2),"Lunes","Martes","Miércoles","Jueves","Viernes","Sábado","Domingo"))</f>
        <v/>
      </c>
      <c r="C232" s="23" t="n"/>
      <c r="D232" s="17" t="n"/>
      <c r="E232" s="22">
        <f>IF(A232="","",IF(OR(COUNTIF(Ajustes!$A$11:$A$40,A232)&gt;0,AND(Ajustes!$B$6="Sí",WEEKDAY(A232,2)=7)),"Sí",""))</f>
        <v/>
      </c>
      <c r="F232" s="24">
        <f>IF(E232="Sí",N(C232),0)</f>
        <v/>
      </c>
      <c r="G232" s="22">
        <f>IF(A232="","",MONTH(A232))</f>
        <v/>
      </c>
      <c r="H232" s="21">
        <f>IF(A232="","",A232-WEEKDAY(A232,2)+1)</f>
        <v/>
      </c>
    </row>
    <row r="233">
      <c r="A233" s="21">
        <f>IF(231&gt;DATE(Ajustes!$B$3,12,31)-DATE(Ajustes!$B$3,1,1),"",DATE(Ajustes!$B$3,1,1)+231)</f>
        <v/>
      </c>
      <c r="B233" s="22">
        <f>IF(A233="","",CHOOSE(WEEKDAY(A233,2),"Lunes","Martes","Miércoles","Jueves","Viernes","Sábado","Domingo"))</f>
        <v/>
      </c>
      <c r="C233" s="23" t="n"/>
      <c r="D233" s="17" t="n"/>
      <c r="E233" s="22">
        <f>IF(A233="","",IF(OR(COUNTIF(Ajustes!$A$11:$A$40,A233)&gt;0,AND(Ajustes!$B$6="Sí",WEEKDAY(A233,2)=7)),"Sí",""))</f>
        <v/>
      </c>
      <c r="F233" s="24">
        <f>IF(E233="Sí",N(C233),0)</f>
        <v/>
      </c>
      <c r="G233" s="22">
        <f>IF(A233="","",MONTH(A233))</f>
        <v/>
      </c>
      <c r="H233" s="21">
        <f>IF(A233="","",A233-WEEKDAY(A233,2)+1)</f>
        <v/>
      </c>
    </row>
    <row r="234">
      <c r="A234" s="21">
        <f>IF(232&gt;DATE(Ajustes!$B$3,12,31)-DATE(Ajustes!$B$3,1,1),"",DATE(Ajustes!$B$3,1,1)+232)</f>
        <v/>
      </c>
      <c r="B234" s="22">
        <f>IF(A234="","",CHOOSE(WEEKDAY(A234,2),"Lunes","Martes","Miércoles","Jueves","Viernes","Sábado","Domingo"))</f>
        <v/>
      </c>
      <c r="C234" s="23" t="n"/>
      <c r="D234" s="17" t="n"/>
      <c r="E234" s="22">
        <f>IF(A234="","",IF(OR(COUNTIF(Ajustes!$A$11:$A$40,A234)&gt;0,AND(Ajustes!$B$6="Sí",WEEKDAY(A234,2)=7)),"Sí",""))</f>
        <v/>
      </c>
      <c r="F234" s="24">
        <f>IF(E234="Sí",N(C234),0)</f>
        <v/>
      </c>
      <c r="G234" s="22">
        <f>IF(A234="","",MONTH(A234))</f>
        <v/>
      </c>
      <c r="H234" s="21">
        <f>IF(A234="","",A234-WEEKDAY(A234,2)+1)</f>
        <v/>
      </c>
    </row>
    <row r="235">
      <c r="A235" s="21">
        <f>IF(233&gt;DATE(Ajustes!$B$3,12,31)-DATE(Ajustes!$B$3,1,1),"",DATE(Ajustes!$B$3,1,1)+233)</f>
        <v/>
      </c>
      <c r="B235" s="22">
        <f>IF(A235="","",CHOOSE(WEEKDAY(A235,2),"Lunes","Martes","Miércoles","Jueves","Viernes","Sábado","Domingo"))</f>
        <v/>
      </c>
      <c r="C235" s="23" t="n"/>
      <c r="D235" s="17" t="n"/>
      <c r="E235" s="22">
        <f>IF(A235="","",IF(OR(COUNTIF(Ajustes!$A$11:$A$40,A235)&gt;0,AND(Ajustes!$B$6="Sí",WEEKDAY(A235,2)=7)),"Sí",""))</f>
        <v/>
      </c>
      <c r="F235" s="24">
        <f>IF(E235="Sí",N(C235),0)</f>
        <v/>
      </c>
      <c r="G235" s="22">
        <f>IF(A235="","",MONTH(A235))</f>
        <v/>
      </c>
      <c r="H235" s="21">
        <f>IF(A235="","",A235-WEEKDAY(A235,2)+1)</f>
        <v/>
      </c>
    </row>
    <row r="236">
      <c r="A236" s="21">
        <f>IF(234&gt;DATE(Ajustes!$B$3,12,31)-DATE(Ajustes!$B$3,1,1),"",DATE(Ajustes!$B$3,1,1)+234)</f>
        <v/>
      </c>
      <c r="B236" s="22">
        <f>IF(A236="","",CHOOSE(WEEKDAY(A236,2),"Lunes","Martes","Miércoles","Jueves","Viernes","Sábado","Domingo"))</f>
        <v/>
      </c>
      <c r="C236" s="23" t="n"/>
      <c r="D236" s="17" t="n"/>
      <c r="E236" s="22">
        <f>IF(A236="","",IF(OR(COUNTIF(Ajustes!$A$11:$A$40,A236)&gt;0,AND(Ajustes!$B$6="Sí",WEEKDAY(A236,2)=7)),"Sí",""))</f>
        <v/>
      </c>
      <c r="F236" s="24">
        <f>IF(E236="Sí",N(C236),0)</f>
        <v/>
      </c>
      <c r="G236" s="22">
        <f>IF(A236="","",MONTH(A236))</f>
        <v/>
      </c>
      <c r="H236" s="21">
        <f>IF(A236="","",A236-WEEKDAY(A236,2)+1)</f>
        <v/>
      </c>
    </row>
    <row r="237">
      <c r="A237" s="21">
        <f>IF(235&gt;DATE(Ajustes!$B$3,12,31)-DATE(Ajustes!$B$3,1,1),"",DATE(Ajustes!$B$3,1,1)+235)</f>
        <v/>
      </c>
      <c r="B237" s="22">
        <f>IF(A237="","",CHOOSE(WEEKDAY(A237,2),"Lunes","Martes","Miércoles","Jueves","Viernes","Sábado","Domingo"))</f>
        <v/>
      </c>
      <c r="C237" s="23" t="n"/>
      <c r="D237" s="17" t="n"/>
      <c r="E237" s="22">
        <f>IF(A237="","",IF(OR(COUNTIF(Ajustes!$A$11:$A$40,A237)&gt;0,AND(Ajustes!$B$6="Sí",WEEKDAY(A237,2)=7)),"Sí",""))</f>
        <v/>
      </c>
      <c r="F237" s="24">
        <f>IF(E237="Sí",N(C237),0)</f>
        <v/>
      </c>
      <c r="G237" s="22">
        <f>IF(A237="","",MONTH(A237))</f>
        <v/>
      </c>
      <c r="H237" s="21">
        <f>IF(A237="","",A237-WEEKDAY(A237,2)+1)</f>
        <v/>
      </c>
    </row>
    <row r="238">
      <c r="A238" s="21">
        <f>IF(236&gt;DATE(Ajustes!$B$3,12,31)-DATE(Ajustes!$B$3,1,1),"",DATE(Ajustes!$B$3,1,1)+236)</f>
        <v/>
      </c>
      <c r="B238" s="22">
        <f>IF(A238="","",CHOOSE(WEEKDAY(A238,2),"Lunes","Martes","Miércoles","Jueves","Viernes","Sábado","Domingo"))</f>
        <v/>
      </c>
      <c r="C238" s="23" t="n"/>
      <c r="D238" s="17" t="n"/>
      <c r="E238" s="22">
        <f>IF(A238="","",IF(OR(COUNTIF(Ajustes!$A$11:$A$40,A238)&gt;0,AND(Ajustes!$B$6="Sí",WEEKDAY(A238,2)=7)),"Sí",""))</f>
        <v/>
      </c>
      <c r="F238" s="24">
        <f>IF(E238="Sí",N(C238),0)</f>
        <v/>
      </c>
      <c r="G238" s="22">
        <f>IF(A238="","",MONTH(A238))</f>
        <v/>
      </c>
      <c r="H238" s="21">
        <f>IF(A238="","",A238-WEEKDAY(A238,2)+1)</f>
        <v/>
      </c>
    </row>
    <row r="239">
      <c r="A239" s="21">
        <f>IF(237&gt;DATE(Ajustes!$B$3,12,31)-DATE(Ajustes!$B$3,1,1),"",DATE(Ajustes!$B$3,1,1)+237)</f>
        <v/>
      </c>
      <c r="B239" s="22">
        <f>IF(A239="","",CHOOSE(WEEKDAY(A239,2),"Lunes","Martes","Miércoles","Jueves","Viernes","Sábado","Domingo"))</f>
        <v/>
      </c>
      <c r="C239" s="23" t="n"/>
      <c r="D239" s="17" t="n"/>
      <c r="E239" s="22">
        <f>IF(A239="","",IF(OR(COUNTIF(Ajustes!$A$11:$A$40,A239)&gt;0,AND(Ajustes!$B$6="Sí",WEEKDAY(A239,2)=7)),"Sí",""))</f>
        <v/>
      </c>
      <c r="F239" s="24">
        <f>IF(E239="Sí",N(C239),0)</f>
        <v/>
      </c>
      <c r="G239" s="22">
        <f>IF(A239="","",MONTH(A239))</f>
        <v/>
      </c>
      <c r="H239" s="21">
        <f>IF(A239="","",A239-WEEKDAY(A239,2)+1)</f>
        <v/>
      </c>
    </row>
    <row r="240">
      <c r="A240" s="21">
        <f>IF(238&gt;DATE(Ajustes!$B$3,12,31)-DATE(Ajustes!$B$3,1,1),"",DATE(Ajustes!$B$3,1,1)+238)</f>
        <v/>
      </c>
      <c r="B240" s="22">
        <f>IF(A240="","",CHOOSE(WEEKDAY(A240,2),"Lunes","Martes","Miércoles","Jueves","Viernes","Sábado","Domingo"))</f>
        <v/>
      </c>
      <c r="C240" s="23" t="n"/>
      <c r="D240" s="17" t="n"/>
      <c r="E240" s="22">
        <f>IF(A240="","",IF(OR(COUNTIF(Ajustes!$A$11:$A$40,A240)&gt;0,AND(Ajustes!$B$6="Sí",WEEKDAY(A240,2)=7)),"Sí",""))</f>
        <v/>
      </c>
      <c r="F240" s="24">
        <f>IF(E240="Sí",N(C240),0)</f>
        <v/>
      </c>
      <c r="G240" s="22">
        <f>IF(A240="","",MONTH(A240))</f>
        <v/>
      </c>
      <c r="H240" s="21">
        <f>IF(A240="","",A240-WEEKDAY(A240,2)+1)</f>
        <v/>
      </c>
    </row>
    <row r="241">
      <c r="A241" s="21">
        <f>IF(239&gt;DATE(Ajustes!$B$3,12,31)-DATE(Ajustes!$B$3,1,1),"",DATE(Ajustes!$B$3,1,1)+239)</f>
        <v/>
      </c>
      <c r="B241" s="22">
        <f>IF(A241="","",CHOOSE(WEEKDAY(A241,2),"Lunes","Martes","Miércoles","Jueves","Viernes","Sábado","Domingo"))</f>
        <v/>
      </c>
      <c r="C241" s="23" t="n"/>
      <c r="D241" s="17" t="n"/>
      <c r="E241" s="22">
        <f>IF(A241="","",IF(OR(COUNTIF(Ajustes!$A$11:$A$40,A241)&gt;0,AND(Ajustes!$B$6="Sí",WEEKDAY(A241,2)=7)),"Sí",""))</f>
        <v/>
      </c>
      <c r="F241" s="24">
        <f>IF(E241="Sí",N(C241),0)</f>
        <v/>
      </c>
      <c r="G241" s="22">
        <f>IF(A241="","",MONTH(A241))</f>
        <v/>
      </c>
      <c r="H241" s="21">
        <f>IF(A241="","",A241-WEEKDAY(A241,2)+1)</f>
        <v/>
      </c>
    </row>
    <row r="242">
      <c r="A242" s="21">
        <f>IF(240&gt;DATE(Ajustes!$B$3,12,31)-DATE(Ajustes!$B$3,1,1),"",DATE(Ajustes!$B$3,1,1)+240)</f>
        <v/>
      </c>
      <c r="B242" s="22">
        <f>IF(A242="","",CHOOSE(WEEKDAY(A242,2),"Lunes","Martes","Miércoles","Jueves","Viernes","Sábado","Domingo"))</f>
        <v/>
      </c>
      <c r="C242" s="23" t="n"/>
      <c r="D242" s="17" t="n"/>
      <c r="E242" s="22">
        <f>IF(A242="","",IF(OR(COUNTIF(Ajustes!$A$11:$A$40,A242)&gt;0,AND(Ajustes!$B$6="Sí",WEEKDAY(A242,2)=7)),"Sí",""))</f>
        <v/>
      </c>
      <c r="F242" s="24">
        <f>IF(E242="Sí",N(C242),0)</f>
        <v/>
      </c>
      <c r="G242" s="22">
        <f>IF(A242="","",MONTH(A242))</f>
        <v/>
      </c>
      <c r="H242" s="21">
        <f>IF(A242="","",A242-WEEKDAY(A242,2)+1)</f>
        <v/>
      </c>
    </row>
    <row r="243">
      <c r="A243" s="21">
        <f>IF(241&gt;DATE(Ajustes!$B$3,12,31)-DATE(Ajustes!$B$3,1,1),"",DATE(Ajustes!$B$3,1,1)+241)</f>
        <v/>
      </c>
      <c r="B243" s="22">
        <f>IF(A243="","",CHOOSE(WEEKDAY(A243,2),"Lunes","Martes","Miércoles","Jueves","Viernes","Sábado","Domingo"))</f>
        <v/>
      </c>
      <c r="C243" s="23" t="n"/>
      <c r="D243" s="17" t="n"/>
      <c r="E243" s="22">
        <f>IF(A243="","",IF(OR(COUNTIF(Ajustes!$A$11:$A$40,A243)&gt;0,AND(Ajustes!$B$6="Sí",WEEKDAY(A243,2)=7)),"Sí",""))</f>
        <v/>
      </c>
      <c r="F243" s="24">
        <f>IF(E243="Sí",N(C243),0)</f>
        <v/>
      </c>
      <c r="G243" s="22">
        <f>IF(A243="","",MONTH(A243))</f>
        <v/>
      </c>
      <c r="H243" s="21">
        <f>IF(A243="","",A243-WEEKDAY(A243,2)+1)</f>
        <v/>
      </c>
    </row>
    <row r="244">
      <c r="A244" s="21">
        <f>IF(242&gt;DATE(Ajustes!$B$3,12,31)-DATE(Ajustes!$B$3,1,1),"",DATE(Ajustes!$B$3,1,1)+242)</f>
        <v/>
      </c>
      <c r="B244" s="22">
        <f>IF(A244="","",CHOOSE(WEEKDAY(A244,2),"Lunes","Martes","Miércoles","Jueves","Viernes","Sábado","Domingo"))</f>
        <v/>
      </c>
      <c r="C244" s="23" t="n"/>
      <c r="D244" s="17" t="n"/>
      <c r="E244" s="22">
        <f>IF(A244="","",IF(OR(COUNTIF(Ajustes!$A$11:$A$40,A244)&gt;0,AND(Ajustes!$B$6="Sí",WEEKDAY(A244,2)=7)),"Sí",""))</f>
        <v/>
      </c>
      <c r="F244" s="24">
        <f>IF(E244="Sí",N(C244),0)</f>
        <v/>
      </c>
      <c r="G244" s="22">
        <f>IF(A244="","",MONTH(A244))</f>
        <v/>
      </c>
      <c r="H244" s="21">
        <f>IF(A244="","",A244-WEEKDAY(A244,2)+1)</f>
        <v/>
      </c>
    </row>
    <row r="245">
      <c r="A245" s="21">
        <f>IF(243&gt;DATE(Ajustes!$B$3,12,31)-DATE(Ajustes!$B$3,1,1),"",DATE(Ajustes!$B$3,1,1)+243)</f>
        <v/>
      </c>
      <c r="B245" s="22">
        <f>IF(A245="","",CHOOSE(WEEKDAY(A245,2),"Lunes","Martes","Miércoles","Jueves","Viernes","Sábado","Domingo"))</f>
        <v/>
      </c>
      <c r="C245" s="23" t="n"/>
      <c r="D245" s="17" t="n"/>
      <c r="E245" s="22">
        <f>IF(A245="","",IF(OR(COUNTIF(Ajustes!$A$11:$A$40,A245)&gt;0,AND(Ajustes!$B$6="Sí",WEEKDAY(A245,2)=7)),"Sí",""))</f>
        <v/>
      </c>
      <c r="F245" s="24">
        <f>IF(E245="Sí",N(C245),0)</f>
        <v/>
      </c>
      <c r="G245" s="22">
        <f>IF(A245="","",MONTH(A245))</f>
        <v/>
      </c>
      <c r="H245" s="21">
        <f>IF(A245="","",A245-WEEKDAY(A245,2)+1)</f>
        <v/>
      </c>
    </row>
    <row r="246">
      <c r="A246" s="21">
        <f>IF(244&gt;DATE(Ajustes!$B$3,12,31)-DATE(Ajustes!$B$3,1,1),"",DATE(Ajustes!$B$3,1,1)+244)</f>
        <v/>
      </c>
      <c r="B246" s="22">
        <f>IF(A246="","",CHOOSE(WEEKDAY(A246,2),"Lunes","Martes","Miércoles","Jueves","Viernes","Sábado","Domingo"))</f>
        <v/>
      </c>
      <c r="C246" s="23" t="n"/>
      <c r="D246" s="17" t="n"/>
      <c r="E246" s="22">
        <f>IF(A246="","",IF(OR(COUNTIF(Ajustes!$A$11:$A$40,A246)&gt;0,AND(Ajustes!$B$6="Sí",WEEKDAY(A246,2)=7)),"Sí",""))</f>
        <v/>
      </c>
      <c r="F246" s="24">
        <f>IF(E246="Sí",N(C246),0)</f>
        <v/>
      </c>
      <c r="G246" s="22">
        <f>IF(A246="","",MONTH(A246))</f>
        <v/>
      </c>
      <c r="H246" s="21">
        <f>IF(A246="","",A246-WEEKDAY(A246,2)+1)</f>
        <v/>
      </c>
    </row>
    <row r="247">
      <c r="A247" s="21">
        <f>IF(245&gt;DATE(Ajustes!$B$3,12,31)-DATE(Ajustes!$B$3,1,1),"",DATE(Ajustes!$B$3,1,1)+245)</f>
        <v/>
      </c>
      <c r="B247" s="22">
        <f>IF(A247="","",CHOOSE(WEEKDAY(A247,2),"Lunes","Martes","Miércoles","Jueves","Viernes","Sábado","Domingo"))</f>
        <v/>
      </c>
      <c r="C247" s="23" t="n"/>
      <c r="D247" s="17" t="n"/>
      <c r="E247" s="22">
        <f>IF(A247="","",IF(OR(COUNTIF(Ajustes!$A$11:$A$40,A247)&gt;0,AND(Ajustes!$B$6="Sí",WEEKDAY(A247,2)=7)),"Sí",""))</f>
        <v/>
      </c>
      <c r="F247" s="24">
        <f>IF(E247="Sí",N(C247),0)</f>
        <v/>
      </c>
      <c r="G247" s="22">
        <f>IF(A247="","",MONTH(A247))</f>
        <v/>
      </c>
      <c r="H247" s="21">
        <f>IF(A247="","",A247-WEEKDAY(A247,2)+1)</f>
        <v/>
      </c>
    </row>
    <row r="248">
      <c r="A248" s="21">
        <f>IF(246&gt;DATE(Ajustes!$B$3,12,31)-DATE(Ajustes!$B$3,1,1),"",DATE(Ajustes!$B$3,1,1)+246)</f>
        <v/>
      </c>
      <c r="B248" s="22">
        <f>IF(A248="","",CHOOSE(WEEKDAY(A248,2),"Lunes","Martes","Miércoles","Jueves","Viernes","Sábado","Domingo"))</f>
        <v/>
      </c>
      <c r="C248" s="23" t="n"/>
      <c r="D248" s="17" t="n"/>
      <c r="E248" s="22">
        <f>IF(A248="","",IF(OR(COUNTIF(Ajustes!$A$11:$A$40,A248)&gt;0,AND(Ajustes!$B$6="Sí",WEEKDAY(A248,2)=7)),"Sí",""))</f>
        <v/>
      </c>
      <c r="F248" s="24">
        <f>IF(E248="Sí",N(C248),0)</f>
        <v/>
      </c>
      <c r="G248" s="22">
        <f>IF(A248="","",MONTH(A248))</f>
        <v/>
      </c>
      <c r="H248" s="21">
        <f>IF(A248="","",A248-WEEKDAY(A248,2)+1)</f>
        <v/>
      </c>
    </row>
    <row r="249">
      <c r="A249" s="21">
        <f>IF(247&gt;DATE(Ajustes!$B$3,12,31)-DATE(Ajustes!$B$3,1,1),"",DATE(Ajustes!$B$3,1,1)+247)</f>
        <v/>
      </c>
      <c r="B249" s="22">
        <f>IF(A249="","",CHOOSE(WEEKDAY(A249,2),"Lunes","Martes","Miércoles","Jueves","Viernes","Sábado","Domingo"))</f>
        <v/>
      </c>
      <c r="C249" s="23" t="n"/>
      <c r="D249" s="17" t="n"/>
      <c r="E249" s="22">
        <f>IF(A249="","",IF(OR(COUNTIF(Ajustes!$A$11:$A$40,A249)&gt;0,AND(Ajustes!$B$6="Sí",WEEKDAY(A249,2)=7)),"Sí",""))</f>
        <v/>
      </c>
      <c r="F249" s="24">
        <f>IF(E249="Sí",N(C249),0)</f>
        <v/>
      </c>
      <c r="G249" s="22">
        <f>IF(A249="","",MONTH(A249))</f>
        <v/>
      </c>
      <c r="H249" s="21">
        <f>IF(A249="","",A249-WEEKDAY(A249,2)+1)</f>
        <v/>
      </c>
    </row>
    <row r="250">
      <c r="A250" s="21">
        <f>IF(248&gt;DATE(Ajustes!$B$3,12,31)-DATE(Ajustes!$B$3,1,1),"",DATE(Ajustes!$B$3,1,1)+248)</f>
        <v/>
      </c>
      <c r="B250" s="22">
        <f>IF(A250="","",CHOOSE(WEEKDAY(A250,2),"Lunes","Martes","Miércoles","Jueves","Viernes","Sábado","Domingo"))</f>
        <v/>
      </c>
      <c r="C250" s="23" t="n"/>
      <c r="D250" s="17" t="n"/>
      <c r="E250" s="22">
        <f>IF(A250="","",IF(OR(COUNTIF(Ajustes!$A$11:$A$40,A250)&gt;0,AND(Ajustes!$B$6="Sí",WEEKDAY(A250,2)=7)),"Sí",""))</f>
        <v/>
      </c>
      <c r="F250" s="24">
        <f>IF(E250="Sí",N(C250),0)</f>
        <v/>
      </c>
      <c r="G250" s="22">
        <f>IF(A250="","",MONTH(A250))</f>
        <v/>
      </c>
      <c r="H250" s="21">
        <f>IF(A250="","",A250-WEEKDAY(A250,2)+1)</f>
        <v/>
      </c>
    </row>
    <row r="251">
      <c r="A251" s="21">
        <f>IF(249&gt;DATE(Ajustes!$B$3,12,31)-DATE(Ajustes!$B$3,1,1),"",DATE(Ajustes!$B$3,1,1)+249)</f>
        <v/>
      </c>
      <c r="B251" s="22">
        <f>IF(A251="","",CHOOSE(WEEKDAY(A251,2),"Lunes","Martes","Miércoles","Jueves","Viernes","Sábado","Domingo"))</f>
        <v/>
      </c>
      <c r="C251" s="23" t="n"/>
      <c r="D251" s="17" t="n"/>
      <c r="E251" s="22">
        <f>IF(A251="","",IF(OR(COUNTIF(Ajustes!$A$11:$A$40,A251)&gt;0,AND(Ajustes!$B$6="Sí",WEEKDAY(A251,2)=7)),"Sí",""))</f>
        <v/>
      </c>
      <c r="F251" s="24">
        <f>IF(E251="Sí",N(C251),0)</f>
        <v/>
      </c>
      <c r="G251" s="22">
        <f>IF(A251="","",MONTH(A251))</f>
        <v/>
      </c>
      <c r="H251" s="21">
        <f>IF(A251="","",A251-WEEKDAY(A251,2)+1)</f>
        <v/>
      </c>
    </row>
    <row r="252">
      <c r="A252" s="21">
        <f>IF(250&gt;DATE(Ajustes!$B$3,12,31)-DATE(Ajustes!$B$3,1,1),"",DATE(Ajustes!$B$3,1,1)+250)</f>
        <v/>
      </c>
      <c r="B252" s="22">
        <f>IF(A252="","",CHOOSE(WEEKDAY(A252,2),"Lunes","Martes","Miércoles","Jueves","Viernes","Sábado","Domingo"))</f>
        <v/>
      </c>
      <c r="C252" s="23" t="n"/>
      <c r="D252" s="17" t="n"/>
      <c r="E252" s="22">
        <f>IF(A252="","",IF(OR(COUNTIF(Ajustes!$A$11:$A$40,A252)&gt;0,AND(Ajustes!$B$6="Sí",WEEKDAY(A252,2)=7)),"Sí",""))</f>
        <v/>
      </c>
      <c r="F252" s="24">
        <f>IF(E252="Sí",N(C252),0)</f>
        <v/>
      </c>
      <c r="G252" s="22">
        <f>IF(A252="","",MONTH(A252))</f>
        <v/>
      </c>
      <c r="H252" s="21">
        <f>IF(A252="","",A252-WEEKDAY(A252,2)+1)</f>
        <v/>
      </c>
    </row>
    <row r="253">
      <c r="A253" s="21">
        <f>IF(251&gt;DATE(Ajustes!$B$3,12,31)-DATE(Ajustes!$B$3,1,1),"",DATE(Ajustes!$B$3,1,1)+251)</f>
        <v/>
      </c>
      <c r="B253" s="22">
        <f>IF(A253="","",CHOOSE(WEEKDAY(A253,2),"Lunes","Martes","Miércoles","Jueves","Viernes","Sábado","Domingo"))</f>
        <v/>
      </c>
      <c r="C253" s="23" t="n"/>
      <c r="D253" s="17" t="n"/>
      <c r="E253" s="22">
        <f>IF(A253="","",IF(OR(COUNTIF(Ajustes!$A$11:$A$40,A253)&gt;0,AND(Ajustes!$B$6="Sí",WEEKDAY(A253,2)=7)),"Sí",""))</f>
        <v/>
      </c>
      <c r="F253" s="24">
        <f>IF(E253="Sí",N(C253),0)</f>
        <v/>
      </c>
      <c r="G253" s="22">
        <f>IF(A253="","",MONTH(A253))</f>
        <v/>
      </c>
      <c r="H253" s="21">
        <f>IF(A253="","",A253-WEEKDAY(A253,2)+1)</f>
        <v/>
      </c>
    </row>
    <row r="254">
      <c r="A254" s="21">
        <f>IF(252&gt;DATE(Ajustes!$B$3,12,31)-DATE(Ajustes!$B$3,1,1),"",DATE(Ajustes!$B$3,1,1)+252)</f>
        <v/>
      </c>
      <c r="B254" s="22">
        <f>IF(A254="","",CHOOSE(WEEKDAY(A254,2),"Lunes","Martes","Miércoles","Jueves","Viernes","Sábado","Domingo"))</f>
        <v/>
      </c>
      <c r="C254" s="23" t="n"/>
      <c r="D254" s="17" t="n"/>
      <c r="E254" s="22">
        <f>IF(A254="","",IF(OR(COUNTIF(Ajustes!$A$11:$A$40,A254)&gt;0,AND(Ajustes!$B$6="Sí",WEEKDAY(A254,2)=7)),"Sí",""))</f>
        <v/>
      </c>
      <c r="F254" s="24">
        <f>IF(E254="Sí",N(C254),0)</f>
        <v/>
      </c>
      <c r="G254" s="22">
        <f>IF(A254="","",MONTH(A254))</f>
        <v/>
      </c>
      <c r="H254" s="21">
        <f>IF(A254="","",A254-WEEKDAY(A254,2)+1)</f>
        <v/>
      </c>
    </row>
    <row r="255">
      <c r="A255" s="21">
        <f>IF(253&gt;DATE(Ajustes!$B$3,12,31)-DATE(Ajustes!$B$3,1,1),"",DATE(Ajustes!$B$3,1,1)+253)</f>
        <v/>
      </c>
      <c r="B255" s="22">
        <f>IF(A255="","",CHOOSE(WEEKDAY(A255,2),"Lunes","Martes","Miércoles","Jueves","Viernes","Sábado","Domingo"))</f>
        <v/>
      </c>
      <c r="C255" s="23" t="n"/>
      <c r="D255" s="17" t="n"/>
      <c r="E255" s="22">
        <f>IF(A255="","",IF(OR(COUNTIF(Ajustes!$A$11:$A$40,A255)&gt;0,AND(Ajustes!$B$6="Sí",WEEKDAY(A255,2)=7)),"Sí",""))</f>
        <v/>
      </c>
      <c r="F255" s="24">
        <f>IF(E255="Sí",N(C255),0)</f>
        <v/>
      </c>
      <c r="G255" s="22">
        <f>IF(A255="","",MONTH(A255))</f>
        <v/>
      </c>
      <c r="H255" s="21">
        <f>IF(A255="","",A255-WEEKDAY(A255,2)+1)</f>
        <v/>
      </c>
    </row>
    <row r="256">
      <c r="A256" s="21">
        <f>IF(254&gt;DATE(Ajustes!$B$3,12,31)-DATE(Ajustes!$B$3,1,1),"",DATE(Ajustes!$B$3,1,1)+254)</f>
        <v/>
      </c>
      <c r="B256" s="22">
        <f>IF(A256="","",CHOOSE(WEEKDAY(A256,2),"Lunes","Martes","Miércoles","Jueves","Viernes","Sábado","Domingo"))</f>
        <v/>
      </c>
      <c r="C256" s="23" t="n"/>
      <c r="D256" s="17" t="n"/>
      <c r="E256" s="22">
        <f>IF(A256="","",IF(OR(COUNTIF(Ajustes!$A$11:$A$40,A256)&gt;0,AND(Ajustes!$B$6="Sí",WEEKDAY(A256,2)=7)),"Sí",""))</f>
        <v/>
      </c>
      <c r="F256" s="24">
        <f>IF(E256="Sí",N(C256),0)</f>
        <v/>
      </c>
      <c r="G256" s="22">
        <f>IF(A256="","",MONTH(A256))</f>
        <v/>
      </c>
      <c r="H256" s="21">
        <f>IF(A256="","",A256-WEEKDAY(A256,2)+1)</f>
        <v/>
      </c>
    </row>
    <row r="257">
      <c r="A257" s="21">
        <f>IF(255&gt;DATE(Ajustes!$B$3,12,31)-DATE(Ajustes!$B$3,1,1),"",DATE(Ajustes!$B$3,1,1)+255)</f>
        <v/>
      </c>
      <c r="B257" s="22">
        <f>IF(A257="","",CHOOSE(WEEKDAY(A257,2),"Lunes","Martes","Miércoles","Jueves","Viernes","Sábado","Domingo"))</f>
        <v/>
      </c>
      <c r="C257" s="23" t="n"/>
      <c r="D257" s="17" t="n"/>
      <c r="E257" s="22">
        <f>IF(A257="","",IF(OR(COUNTIF(Ajustes!$A$11:$A$40,A257)&gt;0,AND(Ajustes!$B$6="Sí",WEEKDAY(A257,2)=7)),"Sí",""))</f>
        <v/>
      </c>
      <c r="F257" s="24">
        <f>IF(E257="Sí",N(C257),0)</f>
        <v/>
      </c>
      <c r="G257" s="22">
        <f>IF(A257="","",MONTH(A257))</f>
        <v/>
      </c>
      <c r="H257" s="21">
        <f>IF(A257="","",A257-WEEKDAY(A257,2)+1)</f>
        <v/>
      </c>
    </row>
    <row r="258">
      <c r="A258" s="21">
        <f>IF(256&gt;DATE(Ajustes!$B$3,12,31)-DATE(Ajustes!$B$3,1,1),"",DATE(Ajustes!$B$3,1,1)+256)</f>
        <v/>
      </c>
      <c r="B258" s="22">
        <f>IF(A258="","",CHOOSE(WEEKDAY(A258,2),"Lunes","Martes","Miércoles","Jueves","Viernes","Sábado","Domingo"))</f>
        <v/>
      </c>
      <c r="C258" s="23" t="n"/>
      <c r="D258" s="17" t="n"/>
      <c r="E258" s="22">
        <f>IF(A258="","",IF(OR(COUNTIF(Ajustes!$A$11:$A$40,A258)&gt;0,AND(Ajustes!$B$6="Sí",WEEKDAY(A258,2)=7)),"Sí",""))</f>
        <v/>
      </c>
      <c r="F258" s="24">
        <f>IF(E258="Sí",N(C258),0)</f>
        <v/>
      </c>
      <c r="G258" s="22">
        <f>IF(A258="","",MONTH(A258))</f>
        <v/>
      </c>
      <c r="H258" s="21">
        <f>IF(A258="","",A258-WEEKDAY(A258,2)+1)</f>
        <v/>
      </c>
    </row>
    <row r="259">
      <c r="A259" s="21">
        <f>IF(257&gt;DATE(Ajustes!$B$3,12,31)-DATE(Ajustes!$B$3,1,1),"",DATE(Ajustes!$B$3,1,1)+257)</f>
        <v/>
      </c>
      <c r="B259" s="22">
        <f>IF(A259="","",CHOOSE(WEEKDAY(A259,2),"Lunes","Martes","Miércoles","Jueves","Viernes","Sábado","Domingo"))</f>
        <v/>
      </c>
      <c r="C259" s="23" t="n"/>
      <c r="D259" s="17" t="n"/>
      <c r="E259" s="22">
        <f>IF(A259="","",IF(OR(COUNTIF(Ajustes!$A$11:$A$40,A259)&gt;0,AND(Ajustes!$B$6="Sí",WEEKDAY(A259,2)=7)),"Sí",""))</f>
        <v/>
      </c>
      <c r="F259" s="24">
        <f>IF(E259="Sí",N(C259),0)</f>
        <v/>
      </c>
      <c r="G259" s="22">
        <f>IF(A259="","",MONTH(A259))</f>
        <v/>
      </c>
      <c r="H259" s="21">
        <f>IF(A259="","",A259-WEEKDAY(A259,2)+1)</f>
        <v/>
      </c>
    </row>
    <row r="260">
      <c r="A260" s="21">
        <f>IF(258&gt;DATE(Ajustes!$B$3,12,31)-DATE(Ajustes!$B$3,1,1),"",DATE(Ajustes!$B$3,1,1)+258)</f>
        <v/>
      </c>
      <c r="B260" s="22">
        <f>IF(A260="","",CHOOSE(WEEKDAY(A260,2),"Lunes","Martes","Miércoles","Jueves","Viernes","Sábado","Domingo"))</f>
        <v/>
      </c>
      <c r="C260" s="23" t="n"/>
      <c r="D260" s="17" t="n"/>
      <c r="E260" s="22">
        <f>IF(A260="","",IF(OR(COUNTIF(Ajustes!$A$11:$A$40,A260)&gt;0,AND(Ajustes!$B$6="Sí",WEEKDAY(A260,2)=7)),"Sí",""))</f>
        <v/>
      </c>
      <c r="F260" s="24">
        <f>IF(E260="Sí",N(C260),0)</f>
        <v/>
      </c>
      <c r="G260" s="22">
        <f>IF(A260="","",MONTH(A260))</f>
        <v/>
      </c>
      <c r="H260" s="21">
        <f>IF(A260="","",A260-WEEKDAY(A260,2)+1)</f>
        <v/>
      </c>
    </row>
    <row r="261">
      <c r="A261" s="21">
        <f>IF(259&gt;DATE(Ajustes!$B$3,12,31)-DATE(Ajustes!$B$3,1,1),"",DATE(Ajustes!$B$3,1,1)+259)</f>
        <v/>
      </c>
      <c r="B261" s="22">
        <f>IF(A261="","",CHOOSE(WEEKDAY(A261,2),"Lunes","Martes","Miércoles","Jueves","Viernes","Sábado","Domingo"))</f>
        <v/>
      </c>
      <c r="C261" s="23" t="n"/>
      <c r="D261" s="17" t="n"/>
      <c r="E261" s="22">
        <f>IF(A261="","",IF(OR(COUNTIF(Ajustes!$A$11:$A$40,A261)&gt;0,AND(Ajustes!$B$6="Sí",WEEKDAY(A261,2)=7)),"Sí",""))</f>
        <v/>
      </c>
      <c r="F261" s="24">
        <f>IF(E261="Sí",N(C261),0)</f>
        <v/>
      </c>
      <c r="G261" s="22">
        <f>IF(A261="","",MONTH(A261))</f>
        <v/>
      </c>
      <c r="H261" s="21">
        <f>IF(A261="","",A261-WEEKDAY(A261,2)+1)</f>
        <v/>
      </c>
    </row>
    <row r="262">
      <c r="A262" s="21">
        <f>IF(260&gt;DATE(Ajustes!$B$3,12,31)-DATE(Ajustes!$B$3,1,1),"",DATE(Ajustes!$B$3,1,1)+260)</f>
        <v/>
      </c>
      <c r="B262" s="22">
        <f>IF(A262="","",CHOOSE(WEEKDAY(A262,2),"Lunes","Martes","Miércoles","Jueves","Viernes","Sábado","Domingo"))</f>
        <v/>
      </c>
      <c r="C262" s="23" t="n"/>
      <c r="D262" s="17" t="n"/>
      <c r="E262" s="22">
        <f>IF(A262="","",IF(OR(COUNTIF(Ajustes!$A$11:$A$40,A262)&gt;0,AND(Ajustes!$B$6="Sí",WEEKDAY(A262,2)=7)),"Sí",""))</f>
        <v/>
      </c>
      <c r="F262" s="24">
        <f>IF(E262="Sí",N(C262),0)</f>
        <v/>
      </c>
      <c r="G262" s="22">
        <f>IF(A262="","",MONTH(A262))</f>
        <v/>
      </c>
      <c r="H262" s="21">
        <f>IF(A262="","",A262-WEEKDAY(A262,2)+1)</f>
        <v/>
      </c>
    </row>
    <row r="263">
      <c r="A263" s="21">
        <f>IF(261&gt;DATE(Ajustes!$B$3,12,31)-DATE(Ajustes!$B$3,1,1),"",DATE(Ajustes!$B$3,1,1)+261)</f>
        <v/>
      </c>
      <c r="B263" s="22">
        <f>IF(A263="","",CHOOSE(WEEKDAY(A263,2),"Lunes","Martes","Miércoles","Jueves","Viernes","Sábado","Domingo"))</f>
        <v/>
      </c>
      <c r="C263" s="23" t="n"/>
      <c r="D263" s="17" t="n"/>
      <c r="E263" s="22">
        <f>IF(A263="","",IF(OR(COUNTIF(Ajustes!$A$11:$A$40,A263)&gt;0,AND(Ajustes!$B$6="Sí",WEEKDAY(A263,2)=7)),"Sí",""))</f>
        <v/>
      </c>
      <c r="F263" s="24">
        <f>IF(E263="Sí",N(C263),0)</f>
        <v/>
      </c>
      <c r="G263" s="22">
        <f>IF(A263="","",MONTH(A263))</f>
        <v/>
      </c>
      <c r="H263" s="21">
        <f>IF(A263="","",A263-WEEKDAY(A263,2)+1)</f>
        <v/>
      </c>
    </row>
    <row r="264">
      <c r="A264" s="21">
        <f>IF(262&gt;DATE(Ajustes!$B$3,12,31)-DATE(Ajustes!$B$3,1,1),"",DATE(Ajustes!$B$3,1,1)+262)</f>
        <v/>
      </c>
      <c r="B264" s="22">
        <f>IF(A264="","",CHOOSE(WEEKDAY(A264,2),"Lunes","Martes","Miércoles","Jueves","Viernes","Sábado","Domingo"))</f>
        <v/>
      </c>
      <c r="C264" s="23" t="n"/>
      <c r="D264" s="17" t="n"/>
      <c r="E264" s="22">
        <f>IF(A264="","",IF(OR(COUNTIF(Ajustes!$A$11:$A$40,A264)&gt;0,AND(Ajustes!$B$6="Sí",WEEKDAY(A264,2)=7)),"Sí",""))</f>
        <v/>
      </c>
      <c r="F264" s="24">
        <f>IF(E264="Sí",N(C264),0)</f>
        <v/>
      </c>
      <c r="G264" s="22">
        <f>IF(A264="","",MONTH(A264))</f>
        <v/>
      </c>
      <c r="H264" s="21">
        <f>IF(A264="","",A264-WEEKDAY(A264,2)+1)</f>
        <v/>
      </c>
    </row>
    <row r="265">
      <c r="A265" s="21">
        <f>IF(263&gt;DATE(Ajustes!$B$3,12,31)-DATE(Ajustes!$B$3,1,1),"",DATE(Ajustes!$B$3,1,1)+263)</f>
        <v/>
      </c>
      <c r="B265" s="22">
        <f>IF(A265="","",CHOOSE(WEEKDAY(A265,2),"Lunes","Martes","Miércoles","Jueves","Viernes","Sábado","Domingo"))</f>
        <v/>
      </c>
      <c r="C265" s="23" t="n"/>
      <c r="D265" s="17" t="n"/>
      <c r="E265" s="22">
        <f>IF(A265="","",IF(OR(COUNTIF(Ajustes!$A$11:$A$40,A265)&gt;0,AND(Ajustes!$B$6="Sí",WEEKDAY(A265,2)=7)),"Sí",""))</f>
        <v/>
      </c>
      <c r="F265" s="24">
        <f>IF(E265="Sí",N(C265),0)</f>
        <v/>
      </c>
      <c r="G265" s="22">
        <f>IF(A265="","",MONTH(A265))</f>
        <v/>
      </c>
      <c r="H265" s="21">
        <f>IF(A265="","",A265-WEEKDAY(A265,2)+1)</f>
        <v/>
      </c>
    </row>
    <row r="266">
      <c r="A266" s="21">
        <f>IF(264&gt;DATE(Ajustes!$B$3,12,31)-DATE(Ajustes!$B$3,1,1),"",DATE(Ajustes!$B$3,1,1)+264)</f>
        <v/>
      </c>
      <c r="B266" s="22">
        <f>IF(A266="","",CHOOSE(WEEKDAY(A266,2),"Lunes","Martes","Miércoles","Jueves","Viernes","Sábado","Domingo"))</f>
        <v/>
      </c>
      <c r="C266" s="23" t="n"/>
      <c r="D266" s="17" t="n"/>
      <c r="E266" s="22">
        <f>IF(A266="","",IF(OR(COUNTIF(Ajustes!$A$11:$A$40,A266)&gt;0,AND(Ajustes!$B$6="Sí",WEEKDAY(A266,2)=7)),"Sí",""))</f>
        <v/>
      </c>
      <c r="F266" s="24">
        <f>IF(E266="Sí",N(C266),0)</f>
        <v/>
      </c>
      <c r="G266" s="22">
        <f>IF(A266="","",MONTH(A266))</f>
        <v/>
      </c>
      <c r="H266" s="21">
        <f>IF(A266="","",A266-WEEKDAY(A266,2)+1)</f>
        <v/>
      </c>
    </row>
    <row r="267">
      <c r="A267" s="21">
        <f>IF(265&gt;DATE(Ajustes!$B$3,12,31)-DATE(Ajustes!$B$3,1,1),"",DATE(Ajustes!$B$3,1,1)+265)</f>
        <v/>
      </c>
      <c r="B267" s="22">
        <f>IF(A267="","",CHOOSE(WEEKDAY(A267,2),"Lunes","Martes","Miércoles","Jueves","Viernes","Sábado","Domingo"))</f>
        <v/>
      </c>
      <c r="C267" s="23" t="n"/>
      <c r="D267" s="17" t="n"/>
      <c r="E267" s="22">
        <f>IF(A267="","",IF(OR(COUNTIF(Ajustes!$A$11:$A$40,A267)&gt;0,AND(Ajustes!$B$6="Sí",WEEKDAY(A267,2)=7)),"Sí",""))</f>
        <v/>
      </c>
      <c r="F267" s="24">
        <f>IF(E267="Sí",N(C267),0)</f>
        <v/>
      </c>
      <c r="G267" s="22">
        <f>IF(A267="","",MONTH(A267))</f>
        <v/>
      </c>
      <c r="H267" s="21">
        <f>IF(A267="","",A267-WEEKDAY(A267,2)+1)</f>
        <v/>
      </c>
    </row>
    <row r="268">
      <c r="A268" s="21">
        <f>IF(266&gt;DATE(Ajustes!$B$3,12,31)-DATE(Ajustes!$B$3,1,1),"",DATE(Ajustes!$B$3,1,1)+266)</f>
        <v/>
      </c>
      <c r="B268" s="22">
        <f>IF(A268="","",CHOOSE(WEEKDAY(A268,2),"Lunes","Martes","Miércoles","Jueves","Viernes","Sábado","Domingo"))</f>
        <v/>
      </c>
      <c r="C268" s="23" t="n"/>
      <c r="D268" s="17" t="n"/>
      <c r="E268" s="22">
        <f>IF(A268="","",IF(OR(COUNTIF(Ajustes!$A$11:$A$40,A268)&gt;0,AND(Ajustes!$B$6="Sí",WEEKDAY(A268,2)=7)),"Sí",""))</f>
        <v/>
      </c>
      <c r="F268" s="24">
        <f>IF(E268="Sí",N(C268),0)</f>
        <v/>
      </c>
      <c r="G268" s="22">
        <f>IF(A268="","",MONTH(A268))</f>
        <v/>
      </c>
      <c r="H268" s="21">
        <f>IF(A268="","",A268-WEEKDAY(A268,2)+1)</f>
        <v/>
      </c>
    </row>
    <row r="269">
      <c r="A269" s="21">
        <f>IF(267&gt;DATE(Ajustes!$B$3,12,31)-DATE(Ajustes!$B$3,1,1),"",DATE(Ajustes!$B$3,1,1)+267)</f>
        <v/>
      </c>
      <c r="B269" s="22">
        <f>IF(A269="","",CHOOSE(WEEKDAY(A269,2),"Lunes","Martes","Miércoles","Jueves","Viernes","Sábado","Domingo"))</f>
        <v/>
      </c>
      <c r="C269" s="23" t="n"/>
      <c r="D269" s="17" t="n"/>
      <c r="E269" s="22">
        <f>IF(A269="","",IF(OR(COUNTIF(Ajustes!$A$11:$A$40,A269)&gt;0,AND(Ajustes!$B$6="Sí",WEEKDAY(A269,2)=7)),"Sí",""))</f>
        <v/>
      </c>
      <c r="F269" s="24">
        <f>IF(E269="Sí",N(C269),0)</f>
        <v/>
      </c>
      <c r="G269" s="22">
        <f>IF(A269="","",MONTH(A269))</f>
        <v/>
      </c>
      <c r="H269" s="21">
        <f>IF(A269="","",A269-WEEKDAY(A269,2)+1)</f>
        <v/>
      </c>
    </row>
    <row r="270">
      <c r="A270" s="21">
        <f>IF(268&gt;DATE(Ajustes!$B$3,12,31)-DATE(Ajustes!$B$3,1,1),"",DATE(Ajustes!$B$3,1,1)+268)</f>
        <v/>
      </c>
      <c r="B270" s="22">
        <f>IF(A270="","",CHOOSE(WEEKDAY(A270,2),"Lunes","Martes","Miércoles","Jueves","Viernes","Sábado","Domingo"))</f>
        <v/>
      </c>
      <c r="C270" s="23" t="n"/>
      <c r="D270" s="17" t="n"/>
      <c r="E270" s="22">
        <f>IF(A270="","",IF(OR(COUNTIF(Ajustes!$A$11:$A$40,A270)&gt;0,AND(Ajustes!$B$6="Sí",WEEKDAY(A270,2)=7)),"Sí",""))</f>
        <v/>
      </c>
      <c r="F270" s="24">
        <f>IF(E270="Sí",N(C270),0)</f>
        <v/>
      </c>
      <c r="G270" s="22">
        <f>IF(A270="","",MONTH(A270))</f>
        <v/>
      </c>
      <c r="H270" s="21">
        <f>IF(A270="","",A270-WEEKDAY(A270,2)+1)</f>
        <v/>
      </c>
    </row>
    <row r="271">
      <c r="A271" s="21">
        <f>IF(269&gt;DATE(Ajustes!$B$3,12,31)-DATE(Ajustes!$B$3,1,1),"",DATE(Ajustes!$B$3,1,1)+269)</f>
        <v/>
      </c>
      <c r="B271" s="22">
        <f>IF(A271="","",CHOOSE(WEEKDAY(A271,2),"Lunes","Martes","Miércoles","Jueves","Viernes","Sábado","Domingo"))</f>
        <v/>
      </c>
      <c r="C271" s="23" t="n"/>
      <c r="D271" s="17" t="n"/>
      <c r="E271" s="22">
        <f>IF(A271="","",IF(OR(COUNTIF(Ajustes!$A$11:$A$40,A271)&gt;0,AND(Ajustes!$B$6="Sí",WEEKDAY(A271,2)=7)),"Sí",""))</f>
        <v/>
      </c>
      <c r="F271" s="24">
        <f>IF(E271="Sí",N(C271),0)</f>
        <v/>
      </c>
      <c r="G271" s="22">
        <f>IF(A271="","",MONTH(A271))</f>
        <v/>
      </c>
      <c r="H271" s="21">
        <f>IF(A271="","",A271-WEEKDAY(A271,2)+1)</f>
        <v/>
      </c>
    </row>
    <row r="272">
      <c r="A272" s="21">
        <f>IF(270&gt;DATE(Ajustes!$B$3,12,31)-DATE(Ajustes!$B$3,1,1),"",DATE(Ajustes!$B$3,1,1)+270)</f>
        <v/>
      </c>
      <c r="B272" s="22">
        <f>IF(A272="","",CHOOSE(WEEKDAY(A272,2),"Lunes","Martes","Miércoles","Jueves","Viernes","Sábado","Domingo"))</f>
        <v/>
      </c>
      <c r="C272" s="23" t="n"/>
      <c r="D272" s="17" t="n"/>
      <c r="E272" s="22">
        <f>IF(A272="","",IF(OR(COUNTIF(Ajustes!$A$11:$A$40,A272)&gt;0,AND(Ajustes!$B$6="Sí",WEEKDAY(A272,2)=7)),"Sí",""))</f>
        <v/>
      </c>
      <c r="F272" s="24">
        <f>IF(E272="Sí",N(C272),0)</f>
        <v/>
      </c>
      <c r="G272" s="22">
        <f>IF(A272="","",MONTH(A272))</f>
        <v/>
      </c>
      <c r="H272" s="21">
        <f>IF(A272="","",A272-WEEKDAY(A272,2)+1)</f>
        <v/>
      </c>
    </row>
    <row r="273">
      <c r="A273" s="21">
        <f>IF(271&gt;DATE(Ajustes!$B$3,12,31)-DATE(Ajustes!$B$3,1,1),"",DATE(Ajustes!$B$3,1,1)+271)</f>
        <v/>
      </c>
      <c r="B273" s="22">
        <f>IF(A273="","",CHOOSE(WEEKDAY(A273,2),"Lunes","Martes","Miércoles","Jueves","Viernes","Sábado","Domingo"))</f>
        <v/>
      </c>
      <c r="C273" s="23" t="n"/>
      <c r="D273" s="17" t="n"/>
      <c r="E273" s="22">
        <f>IF(A273="","",IF(OR(COUNTIF(Ajustes!$A$11:$A$40,A273)&gt;0,AND(Ajustes!$B$6="Sí",WEEKDAY(A273,2)=7)),"Sí",""))</f>
        <v/>
      </c>
      <c r="F273" s="24">
        <f>IF(E273="Sí",N(C273),0)</f>
        <v/>
      </c>
      <c r="G273" s="22">
        <f>IF(A273="","",MONTH(A273))</f>
        <v/>
      </c>
      <c r="H273" s="21">
        <f>IF(A273="","",A273-WEEKDAY(A273,2)+1)</f>
        <v/>
      </c>
    </row>
    <row r="274">
      <c r="A274" s="21">
        <f>IF(272&gt;DATE(Ajustes!$B$3,12,31)-DATE(Ajustes!$B$3,1,1),"",DATE(Ajustes!$B$3,1,1)+272)</f>
        <v/>
      </c>
      <c r="B274" s="22">
        <f>IF(A274="","",CHOOSE(WEEKDAY(A274,2),"Lunes","Martes","Miércoles","Jueves","Viernes","Sábado","Domingo"))</f>
        <v/>
      </c>
      <c r="C274" s="23" t="n"/>
      <c r="D274" s="17" t="n"/>
      <c r="E274" s="22">
        <f>IF(A274="","",IF(OR(COUNTIF(Ajustes!$A$11:$A$40,A274)&gt;0,AND(Ajustes!$B$6="Sí",WEEKDAY(A274,2)=7)),"Sí",""))</f>
        <v/>
      </c>
      <c r="F274" s="24">
        <f>IF(E274="Sí",N(C274),0)</f>
        <v/>
      </c>
      <c r="G274" s="22">
        <f>IF(A274="","",MONTH(A274))</f>
        <v/>
      </c>
      <c r="H274" s="21">
        <f>IF(A274="","",A274-WEEKDAY(A274,2)+1)</f>
        <v/>
      </c>
    </row>
    <row r="275">
      <c r="A275" s="21">
        <f>IF(273&gt;DATE(Ajustes!$B$3,12,31)-DATE(Ajustes!$B$3,1,1),"",DATE(Ajustes!$B$3,1,1)+273)</f>
        <v/>
      </c>
      <c r="B275" s="22">
        <f>IF(A275="","",CHOOSE(WEEKDAY(A275,2),"Lunes","Martes","Miércoles","Jueves","Viernes","Sábado","Domingo"))</f>
        <v/>
      </c>
      <c r="C275" s="23" t="n"/>
      <c r="D275" s="17" t="n"/>
      <c r="E275" s="22">
        <f>IF(A275="","",IF(OR(COUNTIF(Ajustes!$A$11:$A$40,A275)&gt;0,AND(Ajustes!$B$6="Sí",WEEKDAY(A275,2)=7)),"Sí",""))</f>
        <v/>
      </c>
      <c r="F275" s="24">
        <f>IF(E275="Sí",N(C275),0)</f>
        <v/>
      </c>
      <c r="G275" s="22">
        <f>IF(A275="","",MONTH(A275))</f>
        <v/>
      </c>
      <c r="H275" s="21">
        <f>IF(A275="","",A275-WEEKDAY(A275,2)+1)</f>
        <v/>
      </c>
    </row>
    <row r="276">
      <c r="A276" s="21">
        <f>IF(274&gt;DATE(Ajustes!$B$3,12,31)-DATE(Ajustes!$B$3,1,1),"",DATE(Ajustes!$B$3,1,1)+274)</f>
        <v/>
      </c>
      <c r="B276" s="22">
        <f>IF(A276="","",CHOOSE(WEEKDAY(A276,2),"Lunes","Martes","Miércoles","Jueves","Viernes","Sábado","Domingo"))</f>
        <v/>
      </c>
      <c r="C276" s="23" t="n"/>
      <c r="D276" s="17" t="n"/>
      <c r="E276" s="22">
        <f>IF(A276="","",IF(OR(COUNTIF(Ajustes!$A$11:$A$40,A276)&gt;0,AND(Ajustes!$B$6="Sí",WEEKDAY(A276,2)=7)),"Sí",""))</f>
        <v/>
      </c>
      <c r="F276" s="24">
        <f>IF(E276="Sí",N(C276),0)</f>
        <v/>
      </c>
      <c r="G276" s="22">
        <f>IF(A276="","",MONTH(A276))</f>
        <v/>
      </c>
      <c r="H276" s="21">
        <f>IF(A276="","",A276-WEEKDAY(A276,2)+1)</f>
        <v/>
      </c>
    </row>
    <row r="277">
      <c r="A277" s="21">
        <f>IF(275&gt;DATE(Ajustes!$B$3,12,31)-DATE(Ajustes!$B$3,1,1),"",DATE(Ajustes!$B$3,1,1)+275)</f>
        <v/>
      </c>
      <c r="B277" s="22">
        <f>IF(A277="","",CHOOSE(WEEKDAY(A277,2),"Lunes","Martes","Miércoles","Jueves","Viernes","Sábado","Domingo"))</f>
        <v/>
      </c>
      <c r="C277" s="23" t="n"/>
      <c r="D277" s="17" t="n"/>
      <c r="E277" s="22">
        <f>IF(A277="","",IF(OR(COUNTIF(Ajustes!$A$11:$A$40,A277)&gt;0,AND(Ajustes!$B$6="Sí",WEEKDAY(A277,2)=7)),"Sí",""))</f>
        <v/>
      </c>
      <c r="F277" s="24">
        <f>IF(E277="Sí",N(C277),0)</f>
        <v/>
      </c>
      <c r="G277" s="22">
        <f>IF(A277="","",MONTH(A277))</f>
        <v/>
      </c>
      <c r="H277" s="21">
        <f>IF(A277="","",A277-WEEKDAY(A277,2)+1)</f>
        <v/>
      </c>
    </row>
    <row r="278">
      <c r="A278" s="21">
        <f>IF(276&gt;DATE(Ajustes!$B$3,12,31)-DATE(Ajustes!$B$3,1,1),"",DATE(Ajustes!$B$3,1,1)+276)</f>
        <v/>
      </c>
      <c r="B278" s="22">
        <f>IF(A278="","",CHOOSE(WEEKDAY(A278,2),"Lunes","Martes","Miércoles","Jueves","Viernes","Sábado","Domingo"))</f>
        <v/>
      </c>
      <c r="C278" s="23" t="n"/>
      <c r="D278" s="17" t="n"/>
      <c r="E278" s="22">
        <f>IF(A278="","",IF(OR(COUNTIF(Ajustes!$A$11:$A$40,A278)&gt;0,AND(Ajustes!$B$6="Sí",WEEKDAY(A278,2)=7)),"Sí",""))</f>
        <v/>
      </c>
      <c r="F278" s="24">
        <f>IF(E278="Sí",N(C278),0)</f>
        <v/>
      </c>
      <c r="G278" s="22">
        <f>IF(A278="","",MONTH(A278))</f>
        <v/>
      </c>
      <c r="H278" s="21">
        <f>IF(A278="","",A278-WEEKDAY(A278,2)+1)</f>
        <v/>
      </c>
    </row>
    <row r="279">
      <c r="A279" s="21">
        <f>IF(277&gt;DATE(Ajustes!$B$3,12,31)-DATE(Ajustes!$B$3,1,1),"",DATE(Ajustes!$B$3,1,1)+277)</f>
        <v/>
      </c>
      <c r="B279" s="22">
        <f>IF(A279="","",CHOOSE(WEEKDAY(A279,2),"Lunes","Martes","Miércoles","Jueves","Viernes","Sábado","Domingo"))</f>
        <v/>
      </c>
      <c r="C279" s="23" t="n"/>
      <c r="D279" s="17" t="n"/>
      <c r="E279" s="22">
        <f>IF(A279="","",IF(OR(COUNTIF(Ajustes!$A$11:$A$40,A279)&gt;0,AND(Ajustes!$B$6="Sí",WEEKDAY(A279,2)=7)),"Sí",""))</f>
        <v/>
      </c>
      <c r="F279" s="24">
        <f>IF(E279="Sí",N(C279),0)</f>
        <v/>
      </c>
      <c r="G279" s="22">
        <f>IF(A279="","",MONTH(A279))</f>
        <v/>
      </c>
      <c r="H279" s="21">
        <f>IF(A279="","",A279-WEEKDAY(A279,2)+1)</f>
        <v/>
      </c>
    </row>
    <row r="280">
      <c r="A280" s="21">
        <f>IF(278&gt;DATE(Ajustes!$B$3,12,31)-DATE(Ajustes!$B$3,1,1),"",DATE(Ajustes!$B$3,1,1)+278)</f>
        <v/>
      </c>
      <c r="B280" s="22">
        <f>IF(A280="","",CHOOSE(WEEKDAY(A280,2),"Lunes","Martes","Miércoles","Jueves","Viernes","Sábado","Domingo"))</f>
        <v/>
      </c>
      <c r="C280" s="23" t="n"/>
      <c r="D280" s="17" t="n"/>
      <c r="E280" s="22">
        <f>IF(A280="","",IF(OR(COUNTIF(Ajustes!$A$11:$A$40,A280)&gt;0,AND(Ajustes!$B$6="Sí",WEEKDAY(A280,2)=7)),"Sí",""))</f>
        <v/>
      </c>
      <c r="F280" s="24">
        <f>IF(E280="Sí",N(C280),0)</f>
        <v/>
      </c>
      <c r="G280" s="22">
        <f>IF(A280="","",MONTH(A280))</f>
        <v/>
      </c>
      <c r="H280" s="21">
        <f>IF(A280="","",A280-WEEKDAY(A280,2)+1)</f>
        <v/>
      </c>
    </row>
    <row r="281">
      <c r="A281" s="21">
        <f>IF(279&gt;DATE(Ajustes!$B$3,12,31)-DATE(Ajustes!$B$3,1,1),"",DATE(Ajustes!$B$3,1,1)+279)</f>
        <v/>
      </c>
      <c r="B281" s="22">
        <f>IF(A281="","",CHOOSE(WEEKDAY(A281,2),"Lunes","Martes","Miércoles","Jueves","Viernes","Sábado","Domingo"))</f>
        <v/>
      </c>
      <c r="C281" s="23" t="n"/>
      <c r="D281" s="17" t="n"/>
      <c r="E281" s="22">
        <f>IF(A281="","",IF(OR(COUNTIF(Ajustes!$A$11:$A$40,A281)&gt;0,AND(Ajustes!$B$6="Sí",WEEKDAY(A281,2)=7)),"Sí",""))</f>
        <v/>
      </c>
      <c r="F281" s="24">
        <f>IF(E281="Sí",N(C281),0)</f>
        <v/>
      </c>
      <c r="G281" s="22">
        <f>IF(A281="","",MONTH(A281))</f>
        <v/>
      </c>
      <c r="H281" s="21">
        <f>IF(A281="","",A281-WEEKDAY(A281,2)+1)</f>
        <v/>
      </c>
    </row>
    <row r="282">
      <c r="A282" s="21">
        <f>IF(280&gt;DATE(Ajustes!$B$3,12,31)-DATE(Ajustes!$B$3,1,1),"",DATE(Ajustes!$B$3,1,1)+280)</f>
        <v/>
      </c>
      <c r="B282" s="22">
        <f>IF(A282="","",CHOOSE(WEEKDAY(A282,2),"Lunes","Martes","Miércoles","Jueves","Viernes","Sábado","Domingo"))</f>
        <v/>
      </c>
      <c r="C282" s="23" t="n"/>
      <c r="D282" s="17" t="n"/>
      <c r="E282" s="22">
        <f>IF(A282="","",IF(OR(COUNTIF(Ajustes!$A$11:$A$40,A282)&gt;0,AND(Ajustes!$B$6="Sí",WEEKDAY(A282,2)=7)),"Sí",""))</f>
        <v/>
      </c>
      <c r="F282" s="24">
        <f>IF(E282="Sí",N(C282),0)</f>
        <v/>
      </c>
      <c r="G282" s="22">
        <f>IF(A282="","",MONTH(A282))</f>
        <v/>
      </c>
      <c r="H282" s="21">
        <f>IF(A282="","",A282-WEEKDAY(A282,2)+1)</f>
        <v/>
      </c>
    </row>
    <row r="283">
      <c r="A283" s="21">
        <f>IF(281&gt;DATE(Ajustes!$B$3,12,31)-DATE(Ajustes!$B$3,1,1),"",DATE(Ajustes!$B$3,1,1)+281)</f>
        <v/>
      </c>
      <c r="B283" s="22">
        <f>IF(A283="","",CHOOSE(WEEKDAY(A283,2),"Lunes","Martes","Miércoles","Jueves","Viernes","Sábado","Domingo"))</f>
        <v/>
      </c>
      <c r="C283" s="23" t="n"/>
      <c r="D283" s="17" t="n"/>
      <c r="E283" s="22">
        <f>IF(A283="","",IF(OR(COUNTIF(Ajustes!$A$11:$A$40,A283)&gt;0,AND(Ajustes!$B$6="Sí",WEEKDAY(A283,2)=7)),"Sí",""))</f>
        <v/>
      </c>
      <c r="F283" s="24">
        <f>IF(E283="Sí",N(C283),0)</f>
        <v/>
      </c>
      <c r="G283" s="22">
        <f>IF(A283="","",MONTH(A283))</f>
        <v/>
      </c>
      <c r="H283" s="21">
        <f>IF(A283="","",A283-WEEKDAY(A283,2)+1)</f>
        <v/>
      </c>
    </row>
    <row r="284">
      <c r="A284" s="21">
        <f>IF(282&gt;DATE(Ajustes!$B$3,12,31)-DATE(Ajustes!$B$3,1,1),"",DATE(Ajustes!$B$3,1,1)+282)</f>
        <v/>
      </c>
      <c r="B284" s="22">
        <f>IF(A284="","",CHOOSE(WEEKDAY(A284,2),"Lunes","Martes","Miércoles","Jueves","Viernes","Sábado","Domingo"))</f>
        <v/>
      </c>
      <c r="C284" s="23" t="n"/>
      <c r="D284" s="17" t="n"/>
      <c r="E284" s="22">
        <f>IF(A284="","",IF(OR(COUNTIF(Ajustes!$A$11:$A$40,A284)&gt;0,AND(Ajustes!$B$6="Sí",WEEKDAY(A284,2)=7)),"Sí",""))</f>
        <v/>
      </c>
      <c r="F284" s="24">
        <f>IF(E284="Sí",N(C284),0)</f>
        <v/>
      </c>
      <c r="G284" s="22">
        <f>IF(A284="","",MONTH(A284))</f>
        <v/>
      </c>
      <c r="H284" s="21">
        <f>IF(A284="","",A284-WEEKDAY(A284,2)+1)</f>
        <v/>
      </c>
    </row>
    <row r="285">
      <c r="A285" s="21">
        <f>IF(283&gt;DATE(Ajustes!$B$3,12,31)-DATE(Ajustes!$B$3,1,1),"",DATE(Ajustes!$B$3,1,1)+283)</f>
        <v/>
      </c>
      <c r="B285" s="22">
        <f>IF(A285="","",CHOOSE(WEEKDAY(A285,2),"Lunes","Martes","Miércoles","Jueves","Viernes","Sábado","Domingo"))</f>
        <v/>
      </c>
      <c r="C285" s="23" t="n"/>
      <c r="D285" s="17" t="n"/>
      <c r="E285" s="22">
        <f>IF(A285="","",IF(OR(COUNTIF(Ajustes!$A$11:$A$40,A285)&gt;0,AND(Ajustes!$B$6="Sí",WEEKDAY(A285,2)=7)),"Sí",""))</f>
        <v/>
      </c>
      <c r="F285" s="24">
        <f>IF(E285="Sí",N(C285),0)</f>
        <v/>
      </c>
      <c r="G285" s="22">
        <f>IF(A285="","",MONTH(A285))</f>
        <v/>
      </c>
      <c r="H285" s="21">
        <f>IF(A285="","",A285-WEEKDAY(A285,2)+1)</f>
        <v/>
      </c>
    </row>
    <row r="286">
      <c r="A286" s="21">
        <f>IF(284&gt;DATE(Ajustes!$B$3,12,31)-DATE(Ajustes!$B$3,1,1),"",DATE(Ajustes!$B$3,1,1)+284)</f>
        <v/>
      </c>
      <c r="B286" s="22">
        <f>IF(A286="","",CHOOSE(WEEKDAY(A286,2),"Lunes","Martes","Miércoles","Jueves","Viernes","Sábado","Domingo"))</f>
        <v/>
      </c>
      <c r="C286" s="23" t="n"/>
      <c r="D286" s="17" t="n"/>
      <c r="E286" s="22">
        <f>IF(A286="","",IF(OR(COUNTIF(Ajustes!$A$11:$A$40,A286)&gt;0,AND(Ajustes!$B$6="Sí",WEEKDAY(A286,2)=7)),"Sí",""))</f>
        <v/>
      </c>
      <c r="F286" s="24">
        <f>IF(E286="Sí",N(C286),0)</f>
        <v/>
      </c>
      <c r="G286" s="22">
        <f>IF(A286="","",MONTH(A286))</f>
        <v/>
      </c>
      <c r="H286" s="21">
        <f>IF(A286="","",A286-WEEKDAY(A286,2)+1)</f>
        <v/>
      </c>
    </row>
    <row r="287">
      <c r="A287" s="21">
        <f>IF(285&gt;DATE(Ajustes!$B$3,12,31)-DATE(Ajustes!$B$3,1,1),"",DATE(Ajustes!$B$3,1,1)+285)</f>
        <v/>
      </c>
      <c r="B287" s="22">
        <f>IF(A287="","",CHOOSE(WEEKDAY(A287,2),"Lunes","Martes","Miércoles","Jueves","Viernes","Sábado","Domingo"))</f>
        <v/>
      </c>
      <c r="C287" s="23" t="n"/>
      <c r="D287" s="17" t="n"/>
      <c r="E287" s="22">
        <f>IF(A287="","",IF(OR(COUNTIF(Ajustes!$A$11:$A$40,A287)&gt;0,AND(Ajustes!$B$6="Sí",WEEKDAY(A287,2)=7)),"Sí",""))</f>
        <v/>
      </c>
      <c r="F287" s="24">
        <f>IF(E287="Sí",N(C287),0)</f>
        <v/>
      </c>
      <c r="G287" s="22">
        <f>IF(A287="","",MONTH(A287))</f>
        <v/>
      </c>
      <c r="H287" s="21">
        <f>IF(A287="","",A287-WEEKDAY(A287,2)+1)</f>
        <v/>
      </c>
    </row>
    <row r="288">
      <c r="A288" s="21">
        <f>IF(286&gt;DATE(Ajustes!$B$3,12,31)-DATE(Ajustes!$B$3,1,1),"",DATE(Ajustes!$B$3,1,1)+286)</f>
        <v/>
      </c>
      <c r="B288" s="22">
        <f>IF(A288="","",CHOOSE(WEEKDAY(A288,2),"Lunes","Martes","Miércoles","Jueves","Viernes","Sábado","Domingo"))</f>
        <v/>
      </c>
      <c r="C288" s="23" t="n"/>
      <c r="D288" s="17" t="n"/>
      <c r="E288" s="22">
        <f>IF(A288="","",IF(OR(COUNTIF(Ajustes!$A$11:$A$40,A288)&gt;0,AND(Ajustes!$B$6="Sí",WEEKDAY(A288,2)=7)),"Sí",""))</f>
        <v/>
      </c>
      <c r="F288" s="24">
        <f>IF(E288="Sí",N(C288),0)</f>
        <v/>
      </c>
      <c r="G288" s="22">
        <f>IF(A288="","",MONTH(A288))</f>
        <v/>
      </c>
      <c r="H288" s="21">
        <f>IF(A288="","",A288-WEEKDAY(A288,2)+1)</f>
        <v/>
      </c>
    </row>
    <row r="289">
      <c r="A289" s="21">
        <f>IF(287&gt;DATE(Ajustes!$B$3,12,31)-DATE(Ajustes!$B$3,1,1),"",DATE(Ajustes!$B$3,1,1)+287)</f>
        <v/>
      </c>
      <c r="B289" s="22">
        <f>IF(A289="","",CHOOSE(WEEKDAY(A289,2),"Lunes","Martes","Miércoles","Jueves","Viernes","Sábado","Domingo"))</f>
        <v/>
      </c>
      <c r="C289" s="23" t="n"/>
      <c r="D289" s="17" t="n"/>
      <c r="E289" s="22">
        <f>IF(A289="","",IF(OR(COUNTIF(Ajustes!$A$11:$A$40,A289)&gt;0,AND(Ajustes!$B$6="Sí",WEEKDAY(A289,2)=7)),"Sí",""))</f>
        <v/>
      </c>
      <c r="F289" s="24">
        <f>IF(E289="Sí",N(C289),0)</f>
        <v/>
      </c>
      <c r="G289" s="22">
        <f>IF(A289="","",MONTH(A289))</f>
        <v/>
      </c>
      <c r="H289" s="21">
        <f>IF(A289="","",A289-WEEKDAY(A289,2)+1)</f>
        <v/>
      </c>
    </row>
    <row r="290">
      <c r="A290" s="21">
        <f>IF(288&gt;DATE(Ajustes!$B$3,12,31)-DATE(Ajustes!$B$3,1,1),"",DATE(Ajustes!$B$3,1,1)+288)</f>
        <v/>
      </c>
      <c r="B290" s="22">
        <f>IF(A290="","",CHOOSE(WEEKDAY(A290,2),"Lunes","Martes","Miércoles","Jueves","Viernes","Sábado","Domingo"))</f>
        <v/>
      </c>
      <c r="C290" s="23" t="n"/>
      <c r="D290" s="17" t="n"/>
      <c r="E290" s="22">
        <f>IF(A290="","",IF(OR(COUNTIF(Ajustes!$A$11:$A$40,A290)&gt;0,AND(Ajustes!$B$6="Sí",WEEKDAY(A290,2)=7)),"Sí",""))</f>
        <v/>
      </c>
      <c r="F290" s="24">
        <f>IF(E290="Sí",N(C290),0)</f>
        <v/>
      </c>
      <c r="G290" s="22">
        <f>IF(A290="","",MONTH(A290))</f>
        <v/>
      </c>
      <c r="H290" s="21">
        <f>IF(A290="","",A290-WEEKDAY(A290,2)+1)</f>
        <v/>
      </c>
    </row>
    <row r="291">
      <c r="A291" s="21">
        <f>IF(289&gt;DATE(Ajustes!$B$3,12,31)-DATE(Ajustes!$B$3,1,1),"",DATE(Ajustes!$B$3,1,1)+289)</f>
        <v/>
      </c>
      <c r="B291" s="22">
        <f>IF(A291="","",CHOOSE(WEEKDAY(A291,2),"Lunes","Martes","Miércoles","Jueves","Viernes","Sábado","Domingo"))</f>
        <v/>
      </c>
      <c r="C291" s="23" t="n"/>
      <c r="D291" s="17" t="n"/>
      <c r="E291" s="22">
        <f>IF(A291="","",IF(OR(COUNTIF(Ajustes!$A$11:$A$40,A291)&gt;0,AND(Ajustes!$B$6="Sí",WEEKDAY(A291,2)=7)),"Sí",""))</f>
        <v/>
      </c>
      <c r="F291" s="24">
        <f>IF(E291="Sí",N(C291),0)</f>
        <v/>
      </c>
      <c r="G291" s="22">
        <f>IF(A291="","",MONTH(A291))</f>
        <v/>
      </c>
      <c r="H291" s="21">
        <f>IF(A291="","",A291-WEEKDAY(A291,2)+1)</f>
        <v/>
      </c>
    </row>
    <row r="292">
      <c r="A292" s="21">
        <f>IF(290&gt;DATE(Ajustes!$B$3,12,31)-DATE(Ajustes!$B$3,1,1),"",DATE(Ajustes!$B$3,1,1)+290)</f>
        <v/>
      </c>
      <c r="B292" s="22">
        <f>IF(A292="","",CHOOSE(WEEKDAY(A292,2),"Lunes","Martes","Miércoles","Jueves","Viernes","Sábado","Domingo"))</f>
        <v/>
      </c>
      <c r="C292" s="23" t="n"/>
      <c r="D292" s="17" t="n"/>
      <c r="E292" s="22">
        <f>IF(A292="","",IF(OR(COUNTIF(Ajustes!$A$11:$A$40,A292)&gt;0,AND(Ajustes!$B$6="Sí",WEEKDAY(A292,2)=7)),"Sí",""))</f>
        <v/>
      </c>
      <c r="F292" s="24">
        <f>IF(E292="Sí",N(C292),0)</f>
        <v/>
      </c>
      <c r="G292" s="22">
        <f>IF(A292="","",MONTH(A292))</f>
        <v/>
      </c>
      <c r="H292" s="21">
        <f>IF(A292="","",A292-WEEKDAY(A292,2)+1)</f>
        <v/>
      </c>
    </row>
    <row r="293">
      <c r="A293" s="21">
        <f>IF(291&gt;DATE(Ajustes!$B$3,12,31)-DATE(Ajustes!$B$3,1,1),"",DATE(Ajustes!$B$3,1,1)+291)</f>
        <v/>
      </c>
      <c r="B293" s="22">
        <f>IF(A293="","",CHOOSE(WEEKDAY(A293,2),"Lunes","Martes","Miércoles","Jueves","Viernes","Sábado","Domingo"))</f>
        <v/>
      </c>
      <c r="C293" s="23" t="n"/>
      <c r="D293" s="17" t="n"/>
      <c r="E293" s="22">
        <f>IF(A293="","",IF(OR(COUNTIF(Ajustes!$A$11:$A$40,A293)&gt;0,AND(Ajustes!$B$6="Sí",WEEKDAY(A293,2)=7)),"Sí",""))</f>
        <v/>
      </c>
      <c r="F293" s="24">
        <f>IF(E293="Sí",N(C293),0)</f>
        <v/>
      </c>
      <c r="G293" s="22">
        <f>IF(A293="","",MONTH(A293))</f>
        <v/>
      </c>
      <c r="H293" s="21">
        <f>IF(A293="","",A293-WEEKDAY(A293,2)+1)</f>
        <v/>
      </c>
    </row>
    <row r="294">
      <c r="A294" s="21">
        <f>IF(292&gt;DATE(Ajustes!$B$3,12,31)-DATE(Ajustes!$B$3,1,1),"",DATE(Ajustes!$B$3,1,1)+292)</f>
        <v/>
      </c>
      <c r="B294" s="22">
        <f>IF(A294="","",CHOOSE(WEEKDAY(A294,2),"Lunes","Martes","Miércoles","Jueves","Viernes","Sábado","Domingo"))</f>
        <v/>
      </c>
      <c r="C294" s="23" t="n"/>
      <c r="D294" s="17" t="n"/>
      <c r="E294" s="22">
        <f>IF(A294="","",IF(OR(COUNTIF(Ajustes!$A$11:$A$40,A294)&gt;0,AND(Ajustes!$B$6="Sí",WEEKDAY(A294,2)=7)),"Sí",""))</f>
        <v/>
      </c>
      <c r="F294" s="24">
        <f>IF(E294="Sí",N(C294),0)</f>
        <v/>
      </c>
      <c r="G294" s="22">
        <f>IF(A294="","",MONTH(A294))</f>
        <v/>
      </c>
      <c r="H294" s="21">
        <f>IF(A294="","",A294-WEEKDAY(A294,2)+1)</f>
        <v/>
      </c>
    </row>
    <row r="295">
      <c r="A295" s="21">
        <f>IF(293&gt;DATE(Ajustes!$B$3,12,31)-DATE(Ajustes!$B$3,1,1),"",DATE(Ajustes!$B$3,1,1)+293)</f>
        <v/>
      </c>
      <c r="B295" s="22">
        <f>IF(A295="","",CHOOSE(WEEKDAY(A295,2),"Lunes","Martes","Miércoles","Jueves","Viernes","Sábado","Domingo"))</f>
        <v/>
      </c>
      <c r="C295" s="23" t="n"/>
      <c r="D295" s="17" t="n"/>
      <c r="E295" s="22">
        <f>IF(A295="","",IF(OR(COUNTIF(Ajustes!$A$11:$A$40,A295)&gt;0,AND(Ajustes!$B$6="Sí",WEEKDAY(A295,2)=7)),"Sí",""))</f>
        <v/>
      </c>
      <c r="F295" s="24">
        <f>IF(E295="Sí",N(C295),0)</f>
        <v/>
      </c>
      <c r="G295" s="22">
        <f>IF(A295="","",MONTH(A295))</f>
        <v/>
      </c>
      <c r="H295" s="21">
        <f>IF(A295="","",A295-WEEKDAY(A295,2)+1)</f>
        <v/>
      </c>
    </row>
    <row r="296">
      <c r="A296" s="21">
        <f>IF(294&gt;DATE(Ajustes!$B$3,12,31)-DATE(Ajustes!$B$3,1,1),"",DATE(Ajustes!$B$3,1,1)+294)</f>
        <v/>
      </c>
      <c r="B296" s="22">
        <f>IF(A296="","",CHOOSE(WEEKDAY(A296,2),"Lunes","Martes","Miércoles","Jueves","Viernes","Sábado","Domingo"))</f>
        <v/>
      </c>
      <c r="C296" s="23" t="n"/>
      <c r="D296" s="17" t="n"/>
      <c r="E296" s="22">
        <f>IF(A296="","",IF(OR(COUNTIF(Ajustes!$A$11:$A$40,A296)&gt;0,AND(Ajustes!$B$6="Sí",WEEKDAY(A296,2)=7)),"Sí",""))</f>
        <v/>
      </c>
      <c r="F296" s="24">
        <f>IF(E296="Sí",N(C296),0)</f>
        <v/>
      </c>
      <c r="G296" s="22">
        <f>IF(A296="","",MONTH(A296))</f>
        <v/>
      </c>
      <c r="H296" s="21">
        <f>IF(A296="","",A296-WEEKDAY(A296,2)+1)</f>
        <v/>
      </c>
    </row>
    <row r="297">
      <c r="A297" s="21">
        <f>IF(295&gt;DATE(Ajustes!$B$3,12,31)-DATE(Ajustes!$B$3,1,1),"",DATE(Ajustes!$B$3,1,1)+295)</f>
        <v/>
      </c>
      <c r="B297" s="22">
        <f>IF(A297="","",CHOOSE(WEEKDAY(A297,2),"Lunes","Martes","Miércoles","Jueves","Viernes","Sábado","Domingo"))</f>
        <v/>
      </c>
      <c r="C297" s="23" t="n"/>
      <c r="D297" s="17" t="n"/>
      <c r="E297" s="22">
        <f>IF(A297="","",IF(OR(COUNTIF(Ajustes!$A$11:$A$40,A297)&gt;0,AND(Ajustes!$B$6="Sí",WEEKDAY(A297,2)=7)),"Sí",""))</f>
        <v/>
      </c>
      <c r="F297" s="24">
        <f>IF(E297="Sí",N(C297),0)</f>
        <v/>
      </c>
      <c r="G297" s="22">
        <f>IF(A297="","",MONTH(A297))</f>
        <v/>
      </c>
      <c r="H297" s="21">
        <f>IF(A297="","",A297-WEEKDAY(A297,2)+1)</f>
        <v/>
      </c>
    </row>
    <row r="298">
      <c r="A298" s="21">
        <f>IF(296&gt;DATE(Ajustes!$B$3,12,31)-DATE(Ajustes!$B$3,1,1),"",DATE(Ajustes!$B$3,1,1)+296)</f>
        <v/>
      </c>
      <c r="B298" s="22">
        <f>IF(A298="","",CHOOSE(WEEKDAY(A298,2),"Lunes","Martes","Miércoles","Jueves","Viernes","Sábado","Domingo"))</f>
        <v/>
      </c>
      <c r="C298" s="23" t="n"/>
      <c r="D298" s="17" t="n"/>
      <c r="E298" s="22">
        <f>IF(A298="","",IF(OR(COUNTIF(Ajustes!$A$11:$A$40,A298)&gt;0,AND(Ajustes!$B$6="Sí",WEEKDAY(A298,2)=7)),"Sí",""))</f>
        <v/>
      </c>
      <c r="F298" s="24">
        <f>IF(E298="Sí",N(C298),0)</f>
        <v/>
      </c>
      <c r="G298" s="22">
        <f>IF(A298="","",MONTH(A298))</f>
        <v/>
      </c>
      <c r="H298" s="21">
        <f>IF(A298="","",A298-WEEKDAY(A298,2)+1)</f>
        <v/>
      </c>
    </row>
    <row r="299">
      <c r="A299" s="21">
        <f>IF(297&gt;DATE(Ajustes!$B$3,12,31)-DATE(Ajustes!$B$3,1,1),"",DATE(Ajustes!$B$3,1,1)+297)</f>
        <v/>
      </c>
      <c r="B299" s="22">
        <f>IF(A299="","",CHOOSE(WEEKDAY(A299,2),"Lunes","Martes","Miércoles","Jueves","Viernes","Sábado","Domingo"))</f>
        <v/>
      </c>
      <c r="C299" s="23" t="n"/>
      <c r="D299" s="17" t="n"/>
      <c r="E299" s="22">
        <f>IF(A299="","",IF(OR(COUNTIF(Ajustes!$A$11:$A$40,A299)&gt;0,AND(Ajustes!$B$6="Sí",WEEKDAY(A299,2)=7)),"Sí",""))</f>
        <v/>
      </c>
      <c r="F299" s="24">
        <f>IF(E299="Sí",N(C299),0)</f>
        <v/>
      </c>
      <c r="G299" s="22">
        <f>IF(A299="","",MONTH(A299))</f>
        <v/>
      </c>
      <c r="H299" s="21">
        <f>IF(A299="","",A299-WEEKDAY(A299,2)+1)</f>
        <v/>
      </c>
    </row>
    <row r="300">
      <c r="A300" s="21">
        <f>IF(298&gt;DATE(Ajustes!$B$3,12,31)-DATE(Ajustes!$B$3,1,1),"",DATE(Ajustes!$B$3,1,1)+298)</f>
        <v/>
      </c>
      <c r="B300" s="22">
        <f>IF(A300="","",CHOOSE(WEEKDAY(A300,2),"Lunes","Martes","Miércoles","Jueves","Viernes","Sábado","Domingo"))</f>
        <v/>
      </c>
      <c r="C300" s="23" t="n"/>
      <c r="D300" s="17" t="n"/>
      <c r="E300" s="22">
        <f>IF(A300="","",IF(OR(COUNTIF(Ajustes!$A$11:$A$40,A300)&gt;0,AND(Ajustes!$B$6="Sí",WEEKDAY(A300,2)=7)),"Sí",""))</f>
        <v/>
      </c>
      <c r="F300" s="24">
        <f>IF(E300="Sí",N(C300),0)</f>
        <v/>
      </c>
      <c r="G300" s="22">
        <f>IF(A300="","",MONTH(A300))</f>
        <v/>
      </c>
      <c r="H300" s="21">
        <f>IF(A300="","",A300-WEEKDAY(A300,2)+1)</f>
        <v/>
      </c>
    </row>
    <row r="301">
      <c r="A301" s="21">
        <f>IF(299&gt;DATE(Ajustes!$B$3,12,31)-DATE(Ajustes!$B$3,1,1),"",DATE(Ajustes!$B$3,1,1)+299)</f>
        <v/>
      </c>
      <c r="B301" s="22">
        <f>IF(A301="","",CHOOSE(WEEKDAY(A301,2),"Lunes","Martes","Miércoles","Jueves","Viernes","Sábado","Domingo"))</f>
        <v/>
      </c>
      <c r="C301" s="23" t="n"/>
      <c r="D301" s="17" t="n"/>
      <c r="E301" s="22">
        <f>IF(A301="","",IF(OR(COUNTIF(Ajustes!$A$11:$A$40,A301)&gt;0,AND(Ajustes!$B$6="Sí",WEEKDAY(A301,2)=7)),"Sí",""))</f>
        <v/>
      </c>
      <c r="F301" s="24">
        <f>IF(E301="Sí",N(C301),0)</f>
        <v/>
      </c>
      <c r="G301" s="22">
        <f>IF(A301="","",MONTH(A301))</f>
        <v/>
      </c>
      <c r="H301" s="21">
        <f>IF(A301="","",A301-WEEKDAY(A301,2)+1)</f>
        <v/>
      </c>
    </row>
    <row r="302">
      <c r="A302" s="21">
        <f>IF(300&gt;DATE(Ajustes!$B$3,12,31)-DATE(Ajustes!$B$3,1,1),"",DATE(Ajustes!$B$3,1,1)+300)</f>
        <v/>
      </c>
      <c r="B302" s="22">
        <f>IF(A302="","",CHOOSE(WEEKDAY(A302,2),"Lunes","Martes","Miércoles","Jueves","Viernes","Sábado","Domingo"))</f>
        <v/>
      </c>
      <c r="C302" s="23" t="n"/>
      <c r="D302" s="17" t="n"/>
      <c r="E302" s="22">
        <f>IF(A302="","",IF(OR(COUNTIF(Ajustes!$A$11:$A$40,A302)&gt;0,AND(Ajustes!$B$6="Sí",WEEKDAY(A302,2)=7)),"Sí",""))</f>
        <v/>
      </c>
      <c r="F302" s="24">
        <f>IF(E302="Sí",N(C302),0)</f>
        <v/>
      </c>
      <c r="G302" s="22">
        <f>IF(A302="","",MONTH(A302))</f>
        <v/>
      </c>
      <c r="H302" s="21">
        <f>IF(A302="","",A302-WEEKDAY(A302,2)+1)</f>
        <v/>
      </c>
    </row>
    <row r="303">
      <c r="A303" s="21">
        <f>IF(301&gt;DATE(Ajustes!$B$3,12,31)-DATE(Ajustes!$B$3,1,1),"",DATE(Ajustes!$B$3,1,1)+301)</f>
        <v/>
      </c>
      <c r="B303" s="22">
        <f>IF(A303="","",CHOOSE(WEEKDAY(A303,2),"Lunes","Martes","Miércoles","Jueves","Viernes","Sábado","Domingo"))</f>
        <v/>
      </c>
      <c r="C303" s="23" t="n"/>
      <c r="D303" s="17" t="n"/>
      <c r="E303" s="22">
        <f>IF(A303="","",IF(OR(COUNTIF(Ajustes!$A$11:$A$40,A303)&gt;0,AND(Ajustes!$B$6="Sí",WEEKDAY(A303,2)=7)),"Sí",""))</f>
        <v/>
      </c>
      <c r="F303" s="24">
        <f>IF(E303="Sí",N(C303),0)</f>
        <v/>
      </c>
      <c r="G303" s="22">
        <f>IF(A303="","",MONTH(A303))</f>
        <v/>
      </c>
      <c r="H303" s="21">
        <f>IF(A303="","",A303-WEEKDAY(A303,2)+1)</f>
        <v/>
      </c>
    </row>
    <row r="304">
      <c r="A304" s="21">
        <f>IF(302&gt;DATE(Ajustes!$B$3,12,31)-DATE(Ajustes!$B$3,1,1),"",DATE(Ajustes!$B$3,1,1)+302)</f>
        <v/>
      </c>
      <c r="B304" s="22">
        <f>IF(A304="","",CHOOSE(WEEKDAY(A304,2),"Lunes","Martes","Miércoles","Jueves","Viernes","Sábado","Domingo"))</f>
        <v/>
      </c>
      <c r="C304" s="23" t="n"/>
      <c r="D304" s="17" t="n"/>
      <c r="E304" s="22">
        <f>IF(A304="","",IF(OR(COUNTIF(Ajustes!$A$11:$A$40,A304)&gt;0,AND(Ajustes!$B$6="Sí",WEEKDAY(A304,2)=7)),"Sí",""))</f>
        <v/>
      </c>
      <c r="F304" s="24">
        <f>IF(E304="Sí",N(C304),0)</f>
        <v/>
      </c>
      <c r="G304" s="22">
        <f>IF(A304="","",MONTH(A304))</f>
        <v/>
      </c>
      <c r="H304" s="21">
        <f>IF(A304="","",A304-WEEKDAY(A304,2)+1)</f>
        <v/>
      </c>
    </row>
    <row r="305">
      <c r="A305" s="21">
        <f>IF(303&gt;DATE(Ajustes!$B$3,12,31)-DATE(Ajustes!$B$3,1,1),"",DATE(Ajustes!$B$3,1,1)+303)</f>
        <v/>
      </c>
      <c r="B305" s="22">
        <f>IF(A305="","",CHOOSE(WEEKDAY(A305,2),"Lunes","Martes","Miércoles","Jueves","Viernes","Sábado","Domingo"))</f>
        <v/>
      </c>
      <c r="C305" s="23" t="n"/>
      <c r="D305" s="17" t="n"/>
      <c r="E305" s="22">
        <f>IF(A305="","",IF(OR(COUNTIF(Ajustes!$A$11:$A$40,A305)&gt;0,AND(Ajustes!$B$6="Sí",WEEKDAY(A305,2)=7)),"Sí",""))</f>
        <v/>
      </c>
      <c r="F305" s="24">
        <f>IF(E305="Sí",N(C305),0)</f>
        <v/>
      </c>
      <c r="G305" s="22">
        <f>IF(A305="","",MONTH(A305))</f>
        <v/>
      </c>
      <c r="H305" s="21">
        <f>IF(A305="","",A305-WEEKDAY(A305,2)+1)</f>
        <v/>
      </c>
    </row>
    <row r="306">
      <c r="A306" s="21">
        <f>IF(304&gt;DATE(Ajustes!$B$3,12,31)-DATE(Ajustes!$B$3,1,1),"",DATE(Ajustes!$B$3,1,1)+304)</f>
        <v/>
      </c>
      <c r="B306" s="22">
        <f>IF(A306="","",CHOOSE(WEEKDAY(A306,2),"Lunes","Martes","Miércoles","Jueves","Viernes","Sábado","Domingo"))</f>
        <v/>
      </c>
      <c r="C306" s="23" t="n"/>
      <c r="D306" s="17" t="n"/>
      <c r="E306" s="22">
        <f>IF(A306="","",IF(OR(COUNTIF(Ajustes!$A$11:$A$40,A306)&gt;0,AND(Ajustes!$B$6="Sí",WEEKDAY(A306,2)=7)),"Sí",""))</f>
        <v/>
      </c>
      <c r="F306" s="24">
        <f>IF(E306="Sí",N(C306),0)</f>
        <v/>
      </c>
      <c r="G306" s="22">
        <f>IF(A306="","",MONTH(A306))</f>
        <v/>
      </c>
      <c r="H306" s="21">
        <f>IF(A306="","",A306-WEEKDAY(A306,2)+1)</f>
        <v/>
      </c>
    </row>
    <row r="307">
      <c r="A307" s="21">
        <f>IF(305&gt;DATE(Ajustes!$B$3,12,31)-DATE(Ajustes!$B$3,1,1),"",DATE(Ajustes!$B$3,1,1)+305)</f>
        <v/>
      </c>
      <c r="B307" s="22">
        <f>IF(A307="","",CHOOSE(WEEKDAY(A307,2),"Lunes","Martes","Miércoles","Jueves","Viernes","Sábado","Domingo"))</f>
        <v/>
      </c>
      <c r="C307" s="23" t="n"/>
      <c r="D307" s="17" t="n"/>
      <c r="E307" s="22">
        <f>IF(A307="","",IF(OR(COUNTIF(Ajustes!$A$11:$A$40,A307)&gt;0,AND(Ajustes!$B$6="Sí",WEEKDAY(A307,2)=7)),"Sí",""))</f>
        <v/>
      </c>
      <c r="F307" s="24">
        <f>IF(E307="Sí",N(C307),0)</f>
        <v/>
      </c>
      <c r="G307" s="22">
        <f>IF(A307="","",MONTH(A307))</f>
        <v/>
      </c>
      <c r="H307" s="21">
        <f>IF(A307="","",A307-WEEKDAY(A307,2)+1)</f>
        <v/>
      </c>
    </row>
    <row r="308">
      <c r="A308" s="21">
        <f>IF(306&gt;DATE(Ajustes!$B$3,12,31)-DATE(Ajustes!$B$3,1,1),"",DATE(Ajustes!$B$3,1,1)+306)</f>
        <v/>
      </c>
      <c r="B308" s="22">
        <f>IF(A308="","",CHOOSE(WEEKDAY(A308,2),"Lunes","Martes","Miércoles","Jueves","Viernes","Sábado","Domingo"))</f>
        <v/>
      </c>
      <c r="C308" s="23" t="n"/>
      <c r="D308" s="17" t="n"/>
      <c r="E308" s="22">
        <f>IF(A308="","",IF(OR(COUNTIF(Ajustes!$A$11:$A$40,A308)&gt;0,AND(Ajustes!$B$6="Sí",WEEKDAY(A308,2)=7)),"Sí",""))</f>
        <v/>
      </c>
      <c r="F308" s="24">
        <f>IF(E308="Sí",N(C308),0)</f>
        <v/>
      </c>
      <c r="G308" s="22">
        <f>IF(A308="","",MONTH(A308))</f>
        <v/>
      </c>
      <c r="H308" s="21">
        <f>IF(A308="","",A308-WEEKDAY(A308,2)+1)</f>
        <v/>
      </c>
    </row>
    <row r="309">
      <c r="A309" s="21">
        <f>IF(307&gt;DATE(Ajustes!$B$3,12,31)-DATE(Ajustes!$B$3,1,1),"",DATE(Ajustes!$B$3,1,1)+307)</f>
        <v/>
      </c>
      <c r="B309" s="22">
        <f>IF(A309="","",CHOOSE(WEEKDAY(A309,2),"Lunes","Martes","Miércoles","Jueves","Viernes","Sábado","Domingo"))</f>
        <v/>
      </c>
      <c r="C309" s="23" t="n"/>
      <c r="D309" s="17" t="n"/>
      <c r="E309" s="22">
        <f>IF(A309="","",IF(OR(COUNTIF(Ajustes!$A$11:$A$40,A309)&gt;0,AND(Ajustes!$B$6="Sí",WEEKDAY(A309,2)=7)),"Sí",""))</f>
        <v/>
      </c>
      <c r="F309" s="24">
        <f>IF(E309="Sí",N(C309),0)</f>
        <v/>
      </c>
      <c r="G309" s="22">
        <f>IF(A309="","",MONTH(A309))</f>
        <v/>
      </c>
      <c r="H309" s="21">
        <f>IF(A309="","",A309-WEEKDAY(A309,2)+1)</f>
        <v/>
      </c>
    </row>
    <row r="310">
      <c r="A310" s="21">
        <f>IF(308&gt;DATE(Ajustes!$B$3,12,31)-DATE(Ajustes!$B$3,1,1),"",DATE(Ajustes!$B$3,1,1)+308)</f>
        <v/>
      </c>
      <c r="B310" s="22">
        <f>IF(A310="","",CHOOSE(WEEKDAY(A310,2),"Lunes","Martes","Miércoles","Jueves","Viernes","Sábado","Domingo"))</f>
        <v/>
      </c>
      <c r="C310" s="23" t="n"/>
      <c r="D310" s="17" t="n"/>
      <c r="E310" s="22">
        <f>IF(A310="","",IF(OR(COUNTIF(Ajustes!$A$11:$A$40,A310)&gt;0,AND(Ajustes!$B$6="Sí",WEEKDAY(A310,2)=7)),"Sí",""))</f>
        <v/>
      </c>
      <c r="F310" s="24">
        <f>IF(E310="Sí",N(C310),0)</f>
        <v/>
      </c>
      <c r="G310" s="22">
        <f>IF(A310="","",MONTH(A310))</f>
        <v/>
      </c>
      <c r="H310" s="21">
        <f>IF(A310="","",A310-WEEKDAY(A310,2)+1)</f>
        <v/>
      </c>
    </row>
    <row r="311">
      <c r="A311" s="21">
        <f>IF(309&gt;DATE(Ajustes!$B$3,12,31)-DATE(Ajustes!$B$3,1,1),"",DATE(Ajustes!$B$3,1,1)+309)</f>
        <v/>
      </c>
      <c r="B311" s="22">
        <f>IF(A311="","",CHOOSE(WEEKDAY(A311,2),"Lunes","Martes","Miércoles","Jueves","Viernes","Sábado","Domingo"))</f>
        <v/>
      </c>
      <c r="C311" s="23" t="n"/>
      <c r="D311" s="17" t="n"/>
      <c r="E311" s="22">
        <f>IF(A311="","",IF(OR(COUNTIF(Ajustes!$A$11:$A$40,A311)&gt;0,AND(Ajustes!$B$6="Sí",WEEKDAY(A311,2)=7)),"Sí",""))</f>
        <v/>
      </c>
      <c r="F311" s="24">
        <f>IF(E311="Sí",N(C311),0)</f>
        <v/>
      </c>
      <c r="G311" s="22">
        <f>IF(A311="","",MONTH(A311))</f>
        <v/>
      </c>
      <c r="H311" s="21">
        <f>IF(A311="","",A311-WEEKDAY(A311,2)+1)</f>
        <v/>
      </c>
    </row>
    <row r="312">
      <c r="A312" s="21">
        <f>IF(310&gt;DATE(Ajustes!$B$3,12,31)-DATE(Ajustes!$B$3,1,1),"",DATE(Ajustes!$B$3,1,1)+310)</f>
        <v/>
      </c>
      <c r="B312" s="22">
        <f>IF(A312="","",CHOOSE(WEEKDAY(A312,2),"Lunes","Martes","Miércoles","Jueves","Viernes","Sábado","Domingo"))</f>
        <v/>
      </c>
      <c r="C312" s="23" t="n"/>
      <c r="D312" s="17" t="n"/>
      <c r="E312" s="22">
        <f>IF(A312="","",IF(OR(COUNTIF(Ajustes!$A$11:$A$40,A312)&gt;0,AND(Ajustes!$B$6="Sí",WEEKDAY(A312,2)=7)),"Sí",""))</f>
        <v/>
      </c>
      <c r="F312" s="24">
        <f>IF(E312="Sí",N(C312),0)</f>
        <v/>
      </c>
      <c r="G312" s="22">
        <f>IF(A312="","",MONTH(A312))</f>
        <v/>
      </c>
      <c r="H312" s="21">
        <f>IF(A312="","",A312-WEEKDAY(A312,2)+1)</f>
        <v/>
      </c>
    </row>
    <row r="313">
      <c r="A313" s="21">
        <f>IF(311&gt;DATE(Ajustes!$B$3,12,31)-DATE(Ajustes!$B$3,1,1),"",DATE(Ajustes!$B$3,1,1)+311)</f>
        <v/>
      </c>
      <c r="B313" s="22">
        <f>IF(A313="","",CHOOSE(WEEKDAY(A313,2),"Lunes","Martes","Miércoles","Jueves","Viernes","Sábado","Domingo"))</f>
        <v/>
      </c>
      <c r="C313" s="23" t="n"/>
      <c r="D313" s="17" t="n"/>
      <c r="E313" s="22">
        <f>IF(A313="","",IF(OR(COUNTIF(Ajustes!$A$11:$A$40,A313)&gt;0,AND(Ajustes!$B$6="Sí",WEEKDAY(A313,2)=7)),"Sí",""))</f>
        <v/>
      </c>
      <c r="F313" s="24">
        <f>IF(E313="Sí",N(C313),0)</f>
        <v/>
      </c>
      <c r="G313" s="22">
        <f>IF(A313="","",MONTH(A313))</f>
        <v/>
      </c>
      <c r="H313" s="21">
        <f>IF(A313="","",A313-WEEKDAY(A313,2)+1)</f>
        <v/>
      </c>
    </row>
    <row r="314">
      <c r="A314" s="21">
        <f>IF(312&gt;DATE(Ajustes!$B$3,12,31)-DATE(Ajustes!$B$3,1,1),"",DATE(Ajustes!$B$3,1,1)+312)</f>
        <v/>
      </c>
      <c r="B314" s="22">
        <f>IF(A314="","",CHOOSE(WEEKDAY(A314,2),"Lunes","Martes","Miércoles","Jueves","Viernes","Sábado","Domingo"))</f>
        <v/>
      </c>
      <c r="C314" s="23" t="n"/>
      <c r="D314" s="17" t="n"/>
      <c r="E314" s="22">
        <f>IF(A314="","",IF(OR(COUNTIF(Ajustes!$A$11:$A$40,A314)&gt;0,AND(Ajustes!$B$6="Sí",WEEKDAY(A314,2)=7)),"Sí",""))</f>
        <v/>
      </c>
      <c r="F314" s="24">
        <f>IF(E314="Sí",N(C314),0)</f>
        <v/>
      </c>
      <c r="G314" s="22">
        <f>IF(A314="","",MONTH(A314))</f>
        <v/>
      </c>
      <c r="H314" s="21">
        <f>IF(A314="","",A314-WEEKDAY(A314,2)+1)</f>
        <v/>
      </c>
    </row>
    <row r="315">
      <c r="A315" s="21">
        <f>IF(313&gt;DATE(Ajustes!$B$3,12,31)-DATE(Ajustes!$B$3,1,1),"",DATE(Ajustes!$B$3,1,1)+313)</f>
        <v/>
      </c>
      <c r="B315" s="22">
        <f>IF(A315="","",CHOOSE(WEEKDAY(A315,2),"Lunes","Martes","Miércoles","Jueves","Viernes","Sábado","Domingo"))</f>
        <v/>
      </c>
      <c r="C315" s="23" t="n"/>
      <c r="D315" s="17" t="n"/>
      <c r="E315" s="22">
        <f>IF(A315="","",IF(OR(COUNTIF(Ajustes!$A$11:$A$40,A315)&gt;0,AND(Ajustes!$B$6="Sí",WEEKDAY(A315,2)=7)),"Sí",""))</f>
        <v/>
      </c>
      <c r="F315" s="24">
        <f>IF(E315="Sí",N(C315),0)</f>
        <v/>
      </c>
      <c r="G315" s="22">
        <f>IF(A315="","",MONTH(A315))</f>
        <v/>
      </c>
      <c r="H315" s="21">
        <f>IF(A315="","",A315-WEEKDAY(A315,2)+1)</f>
        <v/>
      </c>
    </row>
    <row r="316">
      <c r="A316" s="21">
        <f>IF(314&gt;DATE(Ajustes!$B$3,12,31)-DATE(Ajustes!$B$3,1,1),"",DATE(Ajustes!$B$3,1,1)+314)</f>
        <v/>
      </c>
      <c r="B316" s="22">
        <f>IF(A316="","",CHOOSE(WEEKDAY(A316,2),"Lunes","Martes","Miércoles","Jueves","Viernes","Sábado","Domingo"))</f>
        <v/>
      </c>
      <c r="C316" s="23" t="n"/>
      <c r="D316" s="17" t="n"/>
      <c r="E316" s="22">
        <f>IF(A316="","",IF(OR(COUNTIF(Ajustes!$A$11:$A$40,A316)&gt;0,AND(Ajustes!$B$6="Sí",WEEKDAY(A316,2)=7)),"Sí",""))</f>
        <v/>
      </c>
      <c r="F316" s="24">
        <f>IF(E316="Sí",N(C316),0)</f>
        <v/>
      </c>
      <c r="G316" s="22">
        <f>IF(A316="","",MONTH(A316))</f>
        <v/>
      </c>
      <c r="H316" s="21">
        <f>IF(A316="","",A316-WEEKDAY(A316,2)+1)</f>
        <v/>
      </c>
    </row>
    <row r="317">
      <c r="A317" s="21">
        <f>IF(315&gt;DATE(Ajustes!$B$3,12,31)-DATE(Ajustes!$B$3,1,1),"",DATE(Ajustes!$B$3,1,1)+315)</f>
        <v/>
      </c>
      <c r="B317" s="22">
        <f>IF(A317="","",CHOOSE(WEEKDAY(A317,2),"Lunes","Martes","Miércoles","Jueves","Viernes","Sábado","Domingo"))</f>
        <v/>
      </c>
      <c r="C317" s="23" t="n"/>
      <c r="D317" s="17" t="n"/>
      <c r="E317" s="22">
        <f>IF(A317="","",IF(OR(COUNTIF(Ajustes!$A$11:$A$40,A317)&gt;0,AND(Ajustes!$B$6="Sí",WEEKDAY(A317,2)=7)),"Sí",""))</f>
        <v/>
      </c>
      <c r="F317" s="24">
        <f>IF(E317="Sí",N(C317),0)</f>
        <v/>
      </c>
      <c r="G317" s="22">
        <f>IF(A317="","",MONTH(A317))</f>
        <v/>
      </c>
      <c r="H317" s="21">
        <f>IF(A317="","",A317-WEEKDAY(A317,2)+1)</f>
        <v/>
      </c>
    </row>
    <row r="318">
      <c r="A318" s="21">
        <f>IF(316&gt;DATE(Ajustes!$B$3,12,31)-DATE(Ajustes!$B$3,1,1),"",DATE(Ajustes!$B$3,1,1)+316)</f>
        <v/>
      </c>
      <c r="B318" s="22">
        <f>IF(A318="","",CHOOSE(WEEKDAY(A318,2),"Lunes","Martes","Miércoles","Jueves","Viernes","Sábado","Domingo"))</f>
        <v/>
      </c>
      <c r="C318" s="23" t="n"/>
      <c r="D318" s="17" t="n"/>
      <c r="E318" s="22">
        <f>IF(A318="","",IF(OR(COUNTIF(Ajustes!$A$11:$A$40,A318)&gt;0,AND(Ajustes!$B$6="Sí",WEEKDAY(A318,2)=7)),"Sí",""))</f>
        <v/>
      </c>
      <c r="F318" s="24">
        <f>IF(E318="Sí",N(C318),0)</f>
        <v/>
      </c>
      <c r="G318" s="22">
        <f>IF(A318="","",MONTH(A318))</f>
        <v/>
      </c>
      <c r="H318" s="21">
        <f>IF(A318="","",A318-WEEKDAY(A318,2)+1)</f>
        <v/>
      </c>
    </row>
    <row r="319">
      <c r="A319" s="21">
        <f>IF(317&gt;DATE(Ajustes!$B$3,12,31)-DATE(Ajustes!$B$3,1,1),"",DATE(Ajustes!$B$3,1,1)+317)</f>
        <v/>
      </c>
      <c r="B319" s="22">
        <f>IF(A319="","",CHOOSE(WEEKDAY(A319,2),"Lunes","Martes","Miércoles","Jueves","Viernes","Sábado","Domingo"))</f>
        <v/>
      </c>
      <c r="C319" s="23" t="n"/>
      <c r="D319" s="17" t="n"/>
      <c r="E319" s="22">
        <f>IF(A319="","",IF(OR(COUNTIF(Ajustes!$A$11:$A$40,A319)&gt;0,AND(Ajustes!$B$6="Sí",WEEKDAY(A319,2)=7)),"Sí",""))</f>
        <v/>
      </c>
      <c r="F319" s="24">
        <f>IF(E319="Sí",N(C319),0)</f>
        <v/>
      </c>
      <c r="G319" s="22">
        <f>IF(A319="","",MONTH(A319))</f>
        <v/>
      </c>
      <c r="H319" s="21">
        <f>IF(A319="","",A319-WEEKDAY(A319,2)+1)</f>
        <v/>
      </c>
    </row>
    <row r="320">
      <c r="A320" s="21">
        <f>IF(318&gt;DATE(Ajustes!$B$3,12,31)-DATE(Ajustes!$B$3,1,1),"",DATE(Ajustes!$B$3,1,1)+318)</f>
        <v/>
      </c>
      <c r="B320" s="22">
        <f>IF(A320="","",CHOOSE(WEEKDAY(A320,2),"Lunes","Martes","Miércoles","Jueves","Viernes","Sábado","Domingo"))</f>
        <v/>
      </c>
      <c r="C320" s="23" t="n"/>
      <c r="D320" s="17" t="n"/>
      <c r="E320" s="22">
        <f>IF(A320="","",IF(OR(COUNTIF(Ajustes!$A$11:$A$40,A320)&gt;0,AND(Ajustes!$B$6="Sí",WEEKDAY(A320,2)=7)),"Sí",""))</f>
        <v/>
      </c>
      <c r="F320" s="24">
        <f>IF(E320="Sí",N(C320),0)</f>
        <v/>
      </c>
      <c r="G320" s="22">
        <f>IF(A320="","",MONTH(A320))</f>
        <v/>
      </c>
      <c r="H320" s="21">
        <f>IF(A320="","",A320-WEEKDAY(A320,2)+1)</f>
        <v/>
      </c>
    </row>
    <row r="321">
      <c r="A321" s="21">
        <f>IF(319&gt;DATE(Ajustes!$B$3,12,31)-DATE(Ajustes!$B$3,1,1),"",DATE(Ajustes!$B$3,1,1)+319)</f>
        <v/>
      </c>
      <c r="B321" s="22">
        <f>IF(A321="","",CHOOSE(WEEKDAY(A321,2),"Lunes","Martes","Miércoles","Jueves","Viernes","Sábado","Domingo"))</f>
        <v/>
      </c>
      <c r="C321" s="23" t="n"/>
      <c r="D321" s="17" t="n"/>
      <c r="E321" s="22">
        <f>IF(A321="","",IF(OR(COUNTIF(Ajustes!$A$11:$A$40,A321)&gt;0,AND(Ajustes!$B$6="Sí",WEEKDAY(A321,2)=7)),"Sí",""))</f>
        <v/>
      </c>
      <c r="F321" s="24">
        <f>IF(E321="Sí",N(C321),0)</f>
        <v/>
      </c>
      <c r="G321" s="22">
        <f>IF(A321="","",MONTH(A321))</f>
        <v/>
      </c>
      <c r="H321" s="21">
        <f>IF(A321="","",A321-WEEKDAY(A321,2)+1)</f>
        <v/>
      </c>
    </row>
    <row r="322">
      <c r="A322" s="21">
        <f>IF(320&gt;DATE(Ajustes!$B$3,12,31)-DATE(Ajustes!$B$3,1,1),"",DATE(Ajustes!$B$3,1,1)+320)</f>
        <v/>
      </c>
      <c r="B322" s="22">
        <f>IF(A322="","",CHOOSE(WEEKDAY(A322,2),"Lunes","Martes","Miércoles","Jueves","Viernes","Sábado","Domingo"))</f>
        <v/>
      </c>
      <c r="C322" s="23" t="n"/>
      <c r="D322" s="17" t="n"/>
      <c r="E322" s="22">
        <f>IF(A322="","",IF(OR(COUNTIF(Ajustes!$A$11:$A$40,A322)&gt;0,AND(Ajustes!$B$6="Sí",WEEKDAY(A322,2)=7)),"Sí",""))</f>
        <v/>
      </c>
      <c r="F322" s="24">
        <f>IF(E322="Sí",N(C322),0)</f>
        <v/>
      </c>
      <c r="G322" s="22">
        <f>IF(A322="","",MONTH(A322))</f>
        <v/>
      </c>
      <c r="H322" s="21">
        <f>IF(A322="","",A322-WEEKDAY(A322,2)+1)</f>
        <v/>
      </c>
    </row>
    <row r="323">
      <c r="A323" s="21">
        <f>IF(321&gt;DATE(Ajustes!$B$3,12,31)-DATE(Ajustes!$B$3,1,1),"",DATE(Ajustes!$B$3,1,1)+321)</f>
        <v/>
      </c>
      <c r="B323" s="22">
        <f>IF(A323="","",CHOOSE(WEEKDAY(A323,2),"Lunes","Martes","Miércoles","Jueves","Viernes","Sábado","Domingo"))</f>
        <v/>
      </c>
      <c r="C323" s="23" t="n"/>
      <c r="D323" s="17" t="n"/>
      <c r="E323" s="22">
        <f>IF(A323="","",IF(OR(COUNTIF(Ajustes!$A$11:$A$40,A323)&gt;0,AND(Ajustes!$B$6="Sí",WEEKDAY(A323,2)=7)),"Sí",""))</f>
        <v/>
      </c>
      <c r="F323" s="24">
        <f>IF(E323="Sí",N(C323),0)</f>
        <v/>
      </c>
      <c r="G323" s="22">
        <f>IF(A323="","",MONTH(A323))</f>
        <v/>
      </c>
      <c r="H323" s="21">
        <f>IF(A323="","",A323-WEEKDAY(A323,2)+1)</f>
        <v/>
      </c>
    </row>
    <row r="324">
      <c r="A324" s="21">
        <f>IF(322&gt;DATE(Ajustes!$B$3,12,31)-DATE(Ajustes!$B$3,1,1),"",DATE(Ajustes!$B$3,1,1)+322)</f>
        <v/>
      </c>
      <c r="B324" s="22">
        <f>IF(A324="","",CHOOSE(WEEKDAY(A324,2),"Lunes","Martes","Miércoles","Jueves","Viernes","Sábado","Domingo"))</f>
        <v/>
      </c>
      <c r="C324" s="23" t="n"/>
      <c r="D324" s="17" t="n"/>
      <c r="E324" s="22">
        <f>IF(A324="","",IF(OR(COUNTIF(Ajustes!$A$11:$A$40,A324)&gt;0,AND(Ajustes!$B$6="Sí",WEEKDAY(A324,2)=7)),"Sí",""))</f>
        <v/>
      </c>
      <c r="F324" s="24">
        <f>IF(E324="Sí",N(C324),0)</f>
        <v/>
      </c>
      <c r="G324" s="22">
        <f>IF(A324="","",MONTH(A324))</f>
        <v/>
      </c>
      <c r="H324" s="21">
        <f>IF(A324="","",A324-WEEKDAY(A324,2)+1)</f>
        <v/>
      </c>
    </row>
    <row r="325">
      <c r="A325" s="21">
        <f>IF(323&gt;DATE(Ajustes!$B$3,12,31)-DATE(Ajustes!$B$3,1,1),"",DATE(Ajustes!$B$3,1,1)+323)</f>
        <v/>
      </c>
      <c r="B325" s="22">
        <f>IF(A325="","",CHOOSE(WEEKDAY(A325,2),"Lunes","Martes","Miércoles","Jueves","Viernes","Sábado","Domingo"))</f>
        <v/>
      </c>
      <c r="C325" s="23" t="n"/>
      <c r="D325" s="17" t="n"/>
      <c r="E325" s="22">
        <f>IF(A325="","",IF(OR(COUNTIF(Ajustes!$A$11:$A$40,A325)&gt;0,AND(Ajustes!$B$6="Sí",WEEKDAY(A325,2)=7)),"Sí",""))</f>
        <v/>
      </c>
      <c r="F325" s="24">
        <f>IF(E325="Sí",N(C325),0)</f>
        <v/>
      </c>
      <c r="G325" s="22">
        <f>IF(A325="","",MONTH(A325))</f>
        <v/>
      </c>
      <c r="H325" s="21">
        <f>IF(A325="","",A325-WEEKDAY(A325,2)+1)</f>
        <v/>
      </c>
    </row>
    <row r="326">
      <c r="A326" s="21">
        <f>IF(324&gt;DATE(Ajustes!$B$3,12,31)-DATE(Ajustes!$B$3,1,1),"",DATE(Ajustes!$B$3,1,1)+324)</f>
        <v/>
      </c>
      <c r="B326" s="22">
        <f>IF(A326="","",CHOOSE(WEEKDAY(A326,2),"Lunes","Martes","Miércoles","Jueves","Viernes","Sábado","Domingo"))</f>
        <v/>
      </c>
      <c r="C326" s="23" t="n"/>
      <c r="D326" s="17" t="n"/>
      <c r="E326" s="22">
        <f>IF(A326="","",IF(OR(COUNTIF(Ajustes!$A$11:$A$40,A326)&gt;0,AND(Ajustes!$B$6="Sí",WEEKDAY(A326,2)=7)),"Sí",""))</f>
        <v/>
      </c>
      <c r="F326" s="24">
        <f>IF(E326="Sí",N(C326),0)</f>
        <v/>
      </c>
      <c r="G326" s="22">
        <f>IF(A326="","",MONTH(A326))</f>
        <v/>
      </c>
      <c r="H326" s="21">
        <f>IF(A326="","",A326-WEEKDAY(A326,2)+1)</f>
        <v/>
      </c>
    </row>
    <row r="327">
      <c r="A327" s="21">
        <f>IF(325&gt;DATE(Ajustes!$B$3,12,31)-DATE(Ajustes!$B$3,1,1),"",DATE(Ajustes!$B$3,1,1)+325)</f>
        <v/>
      </c>
      <c r="B327" s="22">
        <f>IF(A327="","",CHOOSE(WEEKDAY(A327,2),"Lunes","Martes","Miércoles","Jueves","Viernes","Sábado","Domingo"))</f>
        <v/>
      </c>
      <c r="C327" s="23" t="n"/>
      <c r="D327" s="17" t="n"/>
      <c r="E327" s="22">
        <f>IF(A327="","",IF(OR(COUNTIF(Ajustes!$A$11:$A$40,A327)&gt;0,AND(Ajustes!$B$6="Sí",WEEKDAY(A327,2)=7)),"Sí",""))</f>
        <v/>
      </c>
      <c r="F327" s="24">
        <f>IF(E327="Sí",N(C327),0)</f>
        <v/>
      </c>
      <c r="G327" s="22">
        <f>IF(A327="","",MONTH(A327))</f>
        <v/>
      </c>
      <c r="H327" s="21">
        <f>IF(A327="","",A327-WEEKDAY(A327,2)+1)</f>
        <v/>
      </c>
    </row>
    <row r="328">
      <c r="A328" s="21">
        <f>IF(326&gt;DATE(Ajustes!$B$3,12,31)-DATE(Ajustes!$B$3,1,1),"",DATE(Ajustes!$B$3,1,1)+326)</f>
        <v/>
      </c>
      <c r="B328" s="22">
        <f>IF(A328="","",CHOOSE(WEEKDAY(A328,2),"Lunes","Martes","Miércoles","Jueves","Viernes","Sábado","Domingo"))</f>
        <v/>
      </c>
      <c r="C328" s="23" t="n"/>
      <c r="D328" s="17" t="n"/>
      <c r="E328" s="22">
        <f>IF(A328="","",IF(OR(COUNTIF(Ajustes!$A$11:$A$40,A328)&gt;0,AND(Ajustes!$B$6="Sí",WEEKDAY(A328,2)=7)),"Sí",""))</f>
        <v/>
      </c>
      <c r="F328" s="24">
        <f>IF(E328="Sí",N(C328),0)</f>
        <v/>
      </c>
      <c r="G328" s="22">
        <f>IF(A328="","",MONTH(A328))</f>
        <v/>
      </c>
      <c r="H328" s="21">
        <f>IF(A328="","",A328-WEEKDAY(A328,2)+1)</f>
        <v/>
      </c>
    </row>
    <row r="329">
      <c r="A329" s="21">
        <f>IF(327&gt;DATE(Ajustes!$B$3,12,31)-DATE(Ajustes!$B$3,1,1),"",DATE(Ajustes!$B$3,1,1)+327)</f>
        <v/>
      </c>
      <c r="B329" s="22">
        <f>IF(A329="","",CHOOSE(WEEKDAY(A329,2),"Lunes","Martes","Miércoles","Jueves","Viernes","Sábado","Domingo"))</f>
        <v/>
      </c>
      <c r="C329" s="23" t="n"/>
      <c r="D329" s="17" t="n"/>
      <c r="E329" s="22">
        <f>IF(A329="","",IF(OR(COUNTIF(Ajustes!$A$11:$A$40,A329)&gt;0,AND(Ajustes!$B$6="Sí",WEEKDAY(A329,2)=7)),"Sí",""))</f>
        <v/>
      </c>
      <c r="F329" s="24">
        <f>IF(E329="Sí",N(C329),0)</f>
        <v/>
      </c>
      <c r="G329" s="22">
        <f>IF(A329="","",MONTH(A329))</f>
        <v/>
      </c>
      <c r="H329" s="21">
        <f>IF(A329="","",A329-WEEKDAY(A329,2)+1)</f>
        <v/>
      </c>
    </row>
    <row r="330">
      <c r="A330" s="21">
        <f>IF(328&gt;DATE(Ajustes!$B$3,12,31)-DATE(Ajustes!$B$3,1,1),"",DATE(Ajustes!$B$3,1,1)+328)</f>
        <v/>
      </c>
      <c r="B330" s="22">
        <f>IF(A330="","",CHOOSE(WEEKDAY(A330,2),"Lunes","Martes","Miércoles","Jueves","Viernes","Sábado","Domingo"))</f>
        <v/>
      </c>
      <c r="C330" s="23" t="n"/>
      <c r="D330" s="17" t="n"/>
      <c r="E330" s="22">
        <f>IF(A330="","",IF(OR(COUNTIF(Ajustes!$A$11:$A$40,A330)&gt;0,AND(Ajustes!$B$6="Sí",WEEKDAY(A330,2)=7)),"Sí",""))</f>
        <v/>
      </c>
      <c r="F330" s="24">
        <f>IF(E330="Sí",N(C330),0)</f>
        <v/>
      </c>
      <c r="G330" s="22">
        <f>IF(A330="","",MONTH(A330))</f>
        <v/>
      </c>
      <c r="H330" s="21">
        <f>IF(A330="","",A330-WEEKDAY(A330,2)+1)</f>
        <v/>
      </c>
    </row>
    <row r="331">
      <c r="A331" s="21">
        <f>IF(329&gt;DATE(Ajustes!$B$3,12,31)-DATE(Ajustes!$B$3,1,1),"",DATE(Ajustes!$B$3,1,1)+329)</f>
        <v/>
      </c>
      <c r="B331" s="22">
        <f>IF(A331="","",CHOOSE(WEEKDAY(A331,2),"Lunes","Martes","Miércoles","Jueves","Viernes","Sábado","Domingo"))</f>
        <v/>
      </c>
      <c r="C331" s="23" t="n"/>
      <c r="D331" s="17" t="n"/>
      <c r="E331" s="22">
        <f>IF(A331="","",IF(OR(COUNTIF(Ajustes!$A$11:$A$40,A331)&gt;0,AND(Ajustes!$B$6="Sí",WEEKDAY(A331,2)=7)),"Sí",""))</f>
        <v/>
      </c>
      <c r="F331" s="24">
        <f>IF(E331="Sí",N(C331),0)</f>
        <v/>
      </c>
      <c r="G331" s="22">
        <f>IF(A331="","",MONTH(A331))</f>
        <v/>
      </c>
      <c r="H331" s="21">
        <f>IF(A331="","",A331-WEEKDAY(A331,2)+1)</f>
        <v/>
      </c>
    </row>
    <row r="332">
      <c r="A332" s="21">
        <f>IF(330&gt;DATE(Ajustes!$B$3,12,31)-DATE(Ajustes!$B$3,1,1),"",DATE(Ajustes!$B$3,1,1)+330)</f>
        <v/>
      </c>
      <c r="B332" s="22">
        <f>IF(A332="","",CHOOSE(WEEKDAY(A332,2),"Lunes","Martes","Miércoles","Jueves","Viernes","Sábado","Domingo"))</f>
        <v/>
      </c>
      <c r="C332" s="23" t="n"/>
      <c r="D332" s="17" t="n"/>
      <c r="E332" s="22">
        <f>IF(A332="","",IF(OR(COUNTIF(Ajustes!$A$11:$A$40,A332)&gt;0,AND(Ajustes!$B$6="Sí",WEEKDAY(A332,2)=7)),"Sí",""))</f>
        <v/>
      </c>
      <c r="F332" s="24">
        <f>IF(E332="Sí",N(C332),0)</f>
        <v/>
      </c>
      <c r="G332" s="22">
        <f>IF(A332="","",MONTH(A332))</f>
        <v/>
      </c>
      <c r="H332" s="21">
        <f>IF(A332="","",A332-WEEKDAY(A332,2)+1)</f>
        <v/>
      </c>
    </row>
    <row r="333">
      <c r="A333" s="21">
        <f>IF(331&gt;DATE(Ajustes!$B$3,12,31)-DATE(Ajustes!$B$3,1,1),"",DATE(Ajustes!$B$3,1,1)+331)</f>
        <v/>
      </c>
      <c r="B333" s="22">
        <f>IF(A333="","",CHOOSE(WEEKDAY(A333,2),"Lunes","Martes","Miércoles","Jueves","Viernes","Sábado","Domingo"))</f>
        <v/>
      </c>
      <c r="C333" s="23" t="n"/>
      <c r="D333" s="17" t="n"/>
      <c r="E333" s="22">
        <f>IF(A333="","",IF(OR(COUNTIF(Ajustes!$A$11:$A$40,A333)&gt;0,AND(Ajustes!$B$6="Sí",WEEKDAY(A333,2)=7)),"Sí",""))</f>
        <v/>
      </c>
      <c r="F333" s="24">
        <f>IF(E333="Sí",N(C333),0)</f>
        <v/>
      </c>
      <c r="G333" s="22">
        <f>IF(A333="","",MONTH(A333))</f>
        <v/>
      </c>
      <c r="H333" s="21">
        <f>IF(A333="","",A333-WEEKDAY(A333,2)+1)</f>
        <v/>
      </c>
    </row>
    <row r="334">
      <c r="A334" s="21">
        <f>IF(332&gt;DATE(Ajustes!$B$3,12,31)-DATE(Ajustes!$B$3,1,1),"",DATE(Ajustes!$B$3,1,1)+332)</f>
        <v/>
      </c>
      <c r="B334" s="22">
        <f>IF(A334="","",CHOOSE(WEEKDAY(A334,2),"Lunes","Martes","Miércoles","Jueves","Viernes","Sábado","Domingo"))</f>
        <v/>
      </c>
      <c r="C334" s="23" t="n"/>
      <c r="D334" s="17" t="n"/>
      <c r="E334" s="22">
        <f>IF(A334="","",IF(OR(COUNTIF(Ajustes!$A$11:$A$40,A334)&gt;0,AND(Ajustes!$B$6="Sí",WEEKDAY(A334,2)=7)),"Sí",""))</f>
        <v/>
      </c>
      <c r="F334" s="24">
        <f>IF(E334="Sí",N(C334),0)</f>
        <v/>
      </c>
      <c r="G334" s="22">
        <f>IF(A334="","",MONTH(A334))</f>
        <v/>
      </c>
      <c r="H334" s="21">
        <f>IF(A334="","",A334-WEEKDAY(A334,2)+1)</f>
        <v/>
      </c>
    </row>
    <row r="335">
      <c r="A335" s="21">
        <f>IF(333&gt;DATE(Ajustes!$B$3,12,31)-DATE(Ajustes!$B$3,1,1),"",DATE(Ajustes!$B$3,1,1)+333)</f>
        <v/>
      </c>
      <c r="B335" s="22">
        <f>IF(A335="","",CHOOSE(WEEKDAY(A335,2),"Lunes","Martes","Miércoles","Jueves","Viernes","Sábado","Domingo"))</f>
        <v/>
      </c>
      <c r="C335" s="23" t="n"/>
      <c r="D335" s="17" t="n"/>
      <c r="E335" s="22">
        <f>IF(A335="","",IF(OR(COUNTIF(Ajustes!$A$11:$A$40,A335)&gt;0,AND(Ajustes!$B$6="Sí",WEEKDAY(A335,2)=7)),"Sí",""))</f>
        <v/>
      </c>
      <c r="F335" s="24">
        <f>IF(E335="Sí",N(C335),0)</f>
        <v/>
      </c>
      <c r="G335" s="22">
        <f>IF(A335="","",MONTH(A335))</f>
        <v/>
      </c>
      <c r="H335" s="21">
        <f>IF(A335="","",A335-WEEKDAY(A335,2)+1)</f>
        <v/>
      </c>
    </row>
    <row r="336">
      <c r="A336" s="21">
        <f>IF(334&gt;DATE(Ajustes!$B$3,12,31)-DATE(Ajustes!$B$3,1,1),"",DATE(Ajustes!$B$3,1,1)+334)</f>
        <v/>
      </c>
      <c r="B336" s="22">
        <f>IF(A336="","",CHOOSE(WEEKDAY(A336,2),"Lunes","Martes","Miércoles","Jueves","Viernes","Sábado","Domingo"))</f>
        <v/>
      </c>
      <c r="C336" s="23" t="n"/>
      <c r="D336" s="17" t="n"/>
      <c r="E336" s="22">
        <f>IF(A336="","",IF(OR(COUNTIF(Ajustes!$A$11:$A$40,A336)&gt;0,AND(Ajustes!$B$6="Sí",WEEKDAY(A336,2)=7)),"Sí",""))</f>
        <v/>
      </c>
      <c r="F336" s="24">
        <f>IF(E336="Sí",N(C336),0)</f>
        <v/>
      </c>
      <c r="G336" s="22">
        <f>IF(A336="","",MONTH(A336))</f>
        <v/>
      </c>
      <c r="H336" s="21">
        <f>IF(A336="","",A336-WEEKDAY(A336,2)+1)</f>
        <v/>
      </c>
    </row>
    <row r="337">
      <c r="A337" s="21">
        <f>IF(335&gt;DATE(Ajustes!$B$3,12,31)-DATE(Ajustes!$B$3,1,1),"",DATE(Ajustes!$B$3,1,1)+335)</f>
        <v/>
      </c>
      <c r="B337" s="22">
        <f>IF(A337="","",CHOOSE(WEEKDAY(A337,2),"Lunes","Martes","Miércoles","Jueves","Viernes","Sábado","Domingo"))</f>
        <v/>
      </c>
      <c r="C337" s="23" t="n"/>
      <c r="D337" s="17" t="n"/>
      <c r="E337" s="22">
        <f>IF(A337="","",IF(OR(COUNTIF(Ajustes!$A$11:$A$40,A337)&gt;0,AND(Ajustes!$B$6="Sí",WEEKDAY(A337,2)=7)),"Sí",""))</f>
        <v/>
      </c>
      <c r="F337" s="24">
        <f>IF(E337="Sí",N(C337),0)</f>
        <v/>
      </c>
      <c r="G337" s="22">
        <f>IF(A337="","",MONTH(A337))</f>
        <v/>
      </c>
      <c r="H337" s="21">
        <f>IF(A337="","",A337-WEEKDAY(A337,2)+1)</f>
        <v/>
      </c>
    </row>
    <row r="338">
      <c r="A338" s="21">
        <f>IF(336&gt;DATE(Ajustes!$B$3,12,31)-DATE(Ajustes!$B$3,1,1),"",DATE(Ajustes!$B$3,1,1)+336)</f>
        <v/>
      </c>
      <c r="B338" s="22">
        <f>IF(A338="","",CHOOSE(WEEKDAY(A338,2),"Lunes","Martes","Miércoles","Jueves","Viernes","Sábado","Domingo"))</f>
        <v/>
      </c>
      <c r="C338" s="23" t="n"/>
      <c r="D338" s="17" t="n"/>
      <c r="E338" s="22">
        <f>IF(A338="","",IF(OR(COUNTIF(Ajustes!$A$11:$A$40,A338)&gt;0,AND(Ajustes!$B$6="Sí",WEEKDAY(A338,2)=7)),"Sí",""))</f>
        <v/>
      </c>
      <c r="F338" s="24">
        <f>IF(E338="Sí",N(C338),0)</f>
        <v/>
      </c>
      <c r="G338" s="22">
        <f>IF(A338="","",MONTH(A338))</f>
        <v/>
      </c>
      <c r="H338" s="21">
        <f>IF(A338="","",A338-WEEKDAY(A338,2)+1)</f>
        <v/>
      </c>
    </row>
    <row r="339">
      <c r="A339" s="21">
        <f>IF(337&gt;DATE(Ajustes!$B$3,12,31)-DATE(Ajustes!$B$3,1,1),"",DATE(Ajustes!$B$3,1,1)+337)</f>
        <v/>
      </c>
      <c r="B339" s="22">
        <f>IF(A339="","",CHOOSE(WEEKDAY(A339,2),"Lunes","Martes","Miércoles","Jueves","Viernes","Sábado","Domingo"))</f>
        <v/>
      </c>
      <c r="C339" s="23" t="n"/>
      <c r="D339" s="17" t="n"/>
      <c r="E339" s="22">
        <f>IF(A339="","",IF(OR(COUNTIF(Ajustes!$A$11:$A$40,A339)&gt;0,AND(Ajustes!$B$6="Sí",WEEKDAY(A339,2)=7)),"Sí",""))</f>
        <v/>
      </c>
      <c r="F339" s="24">
        <f>IF(E339="Sí",N(C339),0)</f>
        <v/>
      </c>
      <c r="G339" s="22">
        <f>IF(A339="","",MONTH(A339))</f>
        <v/>
      </c>
      <c r="H339" s="21">
        <f>IF(A339="","",A339-WEEKDAY(A339,2)+1)</f>
        <v/>
      </c>
    </row>
    <row r="340">
      <c r="A340" s="21">
        <f>IF(338&gt;DATE(Ajustes!$B$3,12,31)-DATE(Ajustes!$B$3,1,1),"",DATE(Ajustes!$B$3,1,1)+338)</f>
        <v/>
      </c>
      <c r="B340" s="22">
        <f>IF(A340="","",CHOOSE(WEEKDAY(A340,2),"Lunes","Martes","Miércoles","Jueves","Viernes","Sábado","Domingo"))</f>
        <v/>
      </c>
      <c r="C340" s="23" t="n"/>
      <c r="D340" s="17" t="n"/>
      <c r="E340" s="22">
        <f>IF(A340="","",IF(OR(COUNTIF(Ajustes!$A$11:$A$40,A340)&gt;0,AND(Ajustes!$B$6="Sí",WEEKDAY(A340,2)=7)),"Sí",""))</f>
        <v/>
      </c>
      <c r="F340" s="24">
        <f>IF(E340="Sí",N(C340),0)</f>
        <v/>
      </c>
      <c r="G340" s="22">
        <f>IF(A340="","",MONTH(A340))</f>
        <v/>
      </c>
      <c r="H340" s="21">
        <f>IF(A340="","",A340-WEEKDAY(A340,2)+1)</f>
        <v/>
      </c>
    </row>
    <row r="341">
      <c r="A341" s="21">
        <f>IF(339&gt;DATE(Ajustes!$B$3,12,31)-DATE(Ajustes!$B$3,1,1),"",DATE(Ajustes!$B$3,1,1)+339)</f>
        <v/>
      </c>
      <c r="B341" s="22">
        <f>IF(A341="","",CHOOSE(WEEKDAY(A341,2),"Lunes","Martes","Miércoles","Jueves","Viernes","Sábado","Domingo"))</f>
        <v/>
      </c>
      <c r="C341" s="23" t="n"/>
      <c r="D341" s="17" t="n"/>
      <c r="E341" s="22">
        <f>IF(A341="","",IF(OR(COUNTIF(Ajustes!$A$11:$A$40,A341)&gt;0,AND(Ajustes!$B$6="Sí",WEEKDAY(A341,2)=7)),"Sí",""))</f>
        <v/>
      </c>
      <c r="F341" s="24">
        <f>IF(E341="Sí",N(C341),0)</f>
        <v/>
      </c>
      <c r="G341" s="22">
        <f>IF(A341="","",MONTH(A341))</f>
        <v/>
      </c>
      <c r="H341" s="21">
        <f>IF(A341="","",A341-WEEKDAY(A341,2)+1)</f>
        <v/>
      </c>
    </row>
    <row r="342">
      <c r="A342" s="21">
        <f>IF(340&gt;DATE(Ajustes!$B$3,12,31)-DATE(Ajustes!$B$3,1,1),"",DATE(Ajustes!$B$3,1,1)+340)</f>
        <v/>
      </c>
      <c r="B342" s="22">
        <f>IF(A342="","",CHOOSE(WEEKDAY(A342,2),"Lunes","Martes","Miércoles","Jueves","Viernes","Sábado","Domingo"))</f>
        <v/>
      </c>
      <c r="C342" s="23" t="n"/>
      <c r="D342" s="17" t="n"/>
      <c r="E342" s="22">
        <f>IF(A342="","",IF(OR(COUNTIF(Ajustes!$A$11:$A$40,A342)&gt;0,AND(Ajustes!$B$6="Sí",WEEKDAY(A342,2)=7)),"Sí",""))</f>
        <v/>
      </c>
      <c r="F342" s="24">
        <f>IF(E342="Sí",N(C342),0)</f>
        <v/>
      </c>
      <c r="G342" s="22">
        <f>IF(A342="","",MONTH(A342))</f>
        <v/>
      </c>
      <c r="H342" s="21">
        <f>IF(A342="","",A342-WEEKDAY(A342,2)+1)</f>
        <v/>
      </c>
    </row>
    <row r="343">
      <c r="A343" s="21">
        <f>IF(341&gt;DATE(Ajustes!$B$3,12,31)-DATE(Ajustes!$B$3,1,1),"",DATE(Ajustes!$B$3,1,1)+341)</f>
        <v/>
      </c>
      <c r="B343" s="22">
        <f>IF(A343="","",CHOOSE(WEEKDAY(A343,2),"Lunes","Martes","Miércoles","Jueves","Viernes","Sábado","Domingo"))</f>
        <v/>
      </c>
      <c r="C343" s="23" t="n"/>
      <c r="D343" s="17" t="n"/>
      <c r="E343" s="22">
        <f>IF(A343="","",IF(OR(COUNTIF(Ajustes!$A$11:$A$40,A343)&gt;0,AND(Ajustes!$B$6="Sí",WEEKDAY(A343,2)=7)),"Sí",""))</f>
        <v/>
      </c>
      <c r="F343" s="24">
        <f>IF(E343="Sí",N(C343),0)</f>
        <v/>
      </c>
      <c r="G343" s="22">
        <f>IF(A343="","",MONTH(A343))</f>
        <v/>
      </c>
      <c r="H343" s="21">
        <f>IF(A343="","",A343-WEEKDAY(A343,2)+1)</f>
        <v/>
      </c>
    </row>
    <row r="344">
      <c r="A344" s="21">
        <f>IF(342&gt;DATE(Ajustes!$B$3,12,31)-DATE(Ajustes!$B$3,1,1),"",DATE(Ajustes!$B$3,1,1)+342)</f>
        <v/>
      </c>
      <c r="B344" s="22">
        <f>IF(A344="","",CHOOSE(WEEKDAY(A344,2),"Lunes","Martes","Miércoles","Jueves","Viernes","Sábado","Domingo"))</f>
        <v/>
      </c>
      <c r="C344" s="23" t="n"/>
      <c r="D344" s="17" t="n"/>
      <c r="E344" s="22">
        <f>IF(A344="","",IF(OR(COUNTIF(Ajustes!$A$11:$A$40,A344)&gt;0,AND(Ajustes!$B$6="Sí",WEEKDAY(A344,2)=7)),"Sí",""))</f>
        <v/>
      </c>
      <c r="F344" s="24">
        <f>IF(E344="Sí",N(C344),0)</f>
        <v/>
      </c>
      <c r="G344" s="22">
        <f>IF(A344="","",MONTH(A344))</f>
        <v/>
      </c>
      <c r="H344" s="21">
        <f>IF(A344="","",A344-WEEKDAY(A344,2)+1)</f>
        <v/>
      </c>
    </row>
    <row r="345">
      <c r="A345" s="21">
        <f>IF(343&gt;DATE(Ajustes!$B$3,12,31)-DATE(Ajustes!$B$3,1,1),"",DATE(Ajustes!$B$3,1,1)+343)</f>
        <v/>
      </c>
      <c r="B345" s="22">
        <f>IF(A345="","",CHOOSE(WEEKDAY(A345,2),"Lunes","Martes","Miércoles","Jueves","Viernes","Sábado","Domingo"))</f>
        <v/>
      </c>
      <c r="C345" s="23" t="n"/>
      <c r="D345" s="17" t="n"/>
      <c r="E345" s="22">
        <f>IF(A345="","",IF(OR(COUNTIF(Ajustes!$A$11:$A$40,A345)&gt;0,AND(Ajustes!$B$6="Sí",WEEKDAY(A345,2)=7)),"Sí",""))</f>
        <v/>
      </c>
      <c r="F345" s="24">
        <f>IF(E345="Sí",N(C345),0)</f>
        <v/>
      </c>
      <c r="G345" s="22">
        <f>IF(A345="","",MONTH(A345))</f>
        <v/>
      </c>
      <c r="H345" s="21">
        <f>IF(A345="","",A345-WEEKDAY(A345,2)+1)</f>
        <v/>
      </c>
    </row>
    <row r="346">
      <c r="A346" s="21">
        <f>IF(344&gt;DATE(Ajustes!$B$3,12,31)-DATE(Ajustes!$B$3,1,1),"",DATE(Ajustes!$B$3,1,1)+344)</f>
        <v/>
      </c>
      <c r="B346" s="22">
        <f>IF(A346="","",CHOOSE(WEEKDAY(A346,2),"Lunes","Martes","Miércoles","Jueves","Viernes","Sábado","Domingo"))</f>
        <v/>
      </c>
      <c r="C346" s="23" t="n"/>
      <c r="D346" s="17" t="n"/>
      <c r="E346" s="22">
        <f>IF(A346="","",IF(OR(COUNTIF(Ajustes!$A$11:$A$40,A346)&gt;0,AND(Ajustes!$B$6="Sí",WEEKDAY(A346,2)=7)),"Sí",""))</f>
        <v/>
      </c>
      <c r="F346" s="24">
        <f>IF(E346="Sí",N(C346),0)</f>
        <v/>
      </c>
      <c r="G346" s="22">
        <f>IF(A346="","",MONTH(A346))</f>
        <v/>
      </c>
      <c r="H346" s="21">
        <f>IF(A346="","",A346-WEEKDAY(A346,2)+1)</f>
        <v/>
      </c>
    </row>
    <row r="347">
      <c r="A347" s="21">
        <f>IF(345&gt;DATE(Ajustes!$B$3,12,31)-DATE(Ajustes!$B$3,1,1),"",DATE(Ajustes!$B$3,1,1)+345)</f>
        <v/>
      </c>
      <c r="B347" s="22">
        <f>IF(A347="","",CHOOSE(WEEKDAY(A347,2),"Lunes","Martes","Miércoles","Jueves","Viernes","Sábado","Domingo"))</f>
        <v/>
      </c>
      <c r="C347" s="23" t="n"/>
      <c r="D347" s="17" t="n"/>
      <c r="E347" s="22">
        <f>IF(A347="","",IF(OR(COUNTIF(Ajustes!$A$11:$A$40,A347)&gt;0,AND(Ajustes!$B$6="Sí",WEEKDAY(A347,2)=7)),"Sí",""))</f>
        <v/>
      </c>
      <c r="F347" s="24">
        <f>IF(E347="Sí",N(C347),0)</f>
        <v/>
      </c>
      <c r="G347" s="22">
        <f>IF(A347="","",MONTH(A347))</f>
        <v/>
      </c>
      <c r="H347" s="21">
        <f>IF(A347="","",A347-WEEKDAY(A347,2)+1)</f>
        <v/>
      </c>
    </row>
    <row r="348">
      <c r="A348" s="21">
        <f>IF(346&gt;DATE(Ajustes!$B$3,12,31)-DATE(Ajustes!$B$3,1,1),"",DATE(Ajustes!$B$3,1,1)+346)</f>
        <v/>
      </c>
      <c r="B348" s="22">
        <f>IF(A348="","",CHOOSE(WEEKDAY(A348,2),"Lunes","Martes","Miércoles","Jueves","Viernes","Sábado","Domingo"))</f>
        <v/>
      </c>
      <c r="C348" s="23" t="n"/>
      <c r="D348" s="17" t="n"/>
      <c r="E348" s="22">
        <f>IF(A348="","",IF(OR(COUNTIF(Ajustes!$A$11:$A$40,A348)&gt;0,AND(Ajustes!$B$6="Sí",WEEKDAY(A348,2)=7)),"Sí",""))</f>
        <v/>
      </c>
      <c r="F348" s="24">
        <f>IF(E348="Sí",N(C348),0)</f>
        <v/>
      </c>
      <c r="G348" s="22">
        <f>IF(A348="","",MONTH(A348))</f>
        <v/>
      </c>
      <c r="H348" s="21">
        <f>IF(A348="","",A348-WEEKDAY(A348,2)+1)</f>
        <v/>
      </c>
    </row>
    <row r="349">
      <c r="A349" s="21">
        <f>IF(347&gt;DATE(Ajustes!$B$3,12,31)-DATE(Ajustes!$B$3,1,1),"",DATE(Ajustes!$B$3,1,1)+347)</f>
        <v/>
      </c>
      <c r="B349" s="22">
        <f>IF(A349="","",CHOOSE(WEEKDAY(A349,2),"Lunes","Martes","Miércoles","Jueves","Viernes","Sábado","Domingo"))</f>
        <v/>
      </c>
      <c r="C349" s="23" t="n"/>
      <c r="D349" s="17" t="n"/>
      <c r="E349" s="22">
        <f>IF(A349="","",IF(OR(COUNTIF(Ajustes!$A$11:$A$40,A349)&gt;0,AND(Ajustes!$B$6="Sí",WEEKDAY(A349,2)=7)),"Sí",""))</f>
        <v/>
      </c>
      <c r="F349" s="24">
        <f>IF(E349="Sí",N(C349),0)</f>
        <v/>
      </c>
      <c r="G349" s="22">
        <f>IF(A349="","",MONTH(A349))</f>
        <v/>
      </c>
      <c r="H349" s="21">
        <f>IF(A349="","",A349-WEEKDAY(A349,2)+1)</f>
        <v/>
      </c>
    </row>
    <row r="350">
      <c r="A350" s="21">
        <f>IF(348&gt;DATE(Ajustes!$B$3,12,31)-DATE(Ajustes!$B$3,1,1),"",DATE(Ajustes!$B$3,1,1)+348)</f>
        <v/>
      </c>
      <c r="B350" s="22">
        <f>IF(A350="","",CHOOSE(WEEKDAY(A350,2),"Lunes","Martes","Miércoles","Jueves","Viernes","Sábado","Domingo"))</f>
        <v/>
      </c>
      <c r="C350" s="23" t="n"/>
      <c r="D350" s="17" t="n"/>
      <c r="E350" s="22">
        <f>IF(A350="","",IF(OR(COUNTIF(Ajustes!$A$11:$A$40,A350)&gt;0,AND(Ajustes!$B$6="Sí",WEEKDAY(A350,2)=7)),"Sí",""))</f>
        <v/>
      </c>
      <c r="F350" s="24">
        <f>IF(E350="Sí",N(C350),0)</f>
        <v/>
      </c>
      <c r="G350" s="22">
        <f>IF(A350="","",MONTH(A350))</f>
        <v/>
      </c>
      <c r="H350" s="21">
        <f>IF(A350="","",A350-WEEKDAY(A350,2)+1)</f>
        <v/>
      </c>
    </row>
    <row r="351">
      <c r="A351" s="21">
        <f>IF(349&gt;DATE(Ajustes!$B$3,12,31)-DATE(Ajustes!$B$3,1,1),"",DATE(Ajustes!$B$3,1,1)+349)</f>
        <v/>
      </c>
      <c r="B351" s="22">
        <f>IF(A351="","",CHOOSE(WEEKDAY(A351,2),"Lunes","Martes","Miércoles","Jueves","Viernes","Sábado","Domingo"))</f>
        <v/>
      </c>
      <c r="C351" s="23" t="n"/>
      <c r="D351" s="17" t="n"/>
      <c r="E351" s="22">
        <f>IF(A351="","",IF(OR(COUNTIF(Ajustes!$A$11:$A$40,A351)&gt;0,AND(Ajustes!$B$6="Sí",WEEKDAY(A351,2)=7)),"Sí",""))</f>
        <v/>
      </c>
      <c r="F351" s="24">
        <f>IF(E351="Sí",N(C351),0)</f>
        <v/>
      </c>
      <c r="G351" s="22">
        <f>IF(A351="","",MONTH(A351))</f>
        <v/>
      </c>
      <c r="H351" s="21">
        <f>IF(A351="","",A351-WEEKDAY(A351,2)+1)</f>
        <v/>
      </c>
    </row>
    <row r="352">
      <c r="A352" s="21">
        <f>IF(350&gt;DATE(Ajustes!$B$3,12,31)-DATE(Ajustes!$B$3,1,1),"",DATE(Ajustes!$B$3,1,1)+350)</f>
        <v/>
      </c>
      <c r="B352" s="22">
        <f>IF(A352="","",CHOOSE(WEEKDAY(A352,2),"Lunes","Martes","Miércoles","Jueves","Viernes","Sábado","Domingo"))</f>
        <v/>
      </c>
      <c r="C352" s="23" t="n"/>
      <c r="D352" s="17" t="n"/>
      <c r="E352" s="22">
        <f>IF(A352="","",IF(OR(COUNTIF(Ajustes!$A$11:$A$40,A352)&gt;0,AND(Ajustes!$B$6="Sí",WEEKDAY(A352,2)=7)),"Sí",""))</f>
        <v/>
      </c>
      <c r="F352" s="24">
        <f>IF(E352="Sí",N(C352),0)</f>
        <v/>
      </c>
      <c r="G352" s="22">
        <f>IF(A352="","",MONTH(A352))</f>
        <v/>
      </c>
      <c r="H352" s="21">
        <f>IF(A352="","",A352-WEEKDAY(A352,2)+1)</f>
        <v/>
      </c>
    </row>
    <row r="353">
      <c r="A353" s="21">
        <f>IF(351&gt;DATE(Ajustes!$B$3,12,31)-DATE(Ajustes!$B$3,1,1),"",DATE(Ajustes!$B$3,1,1)+351)</f>
        <v/>
      </c>
      <c r="B353" s="22">
        <f>IF(A353="","",CHOOSE(WEEKDAY(A353,2),"Lunes","Martes","Miércoles","Jueves","Viernes","Sábado","Domingo"))</f>
        <v/>
      </c>
      <c r="C353" s="23" t="n"/>
      <c r="D353" s="17" t="n"/>
      <c r="E353" s="22">
        <f>IF(A353="","",IF(OR(COUNTIF(Ajustes!$A$11:$A$40,A353)&gt;0,AND(Ajustes!$B$6="Sí",WEEKDAY(A353,2)=7)),"Sí",""))</f>
        <v/>
      </c>
      <c r="F353" s="24">
        <f>IF(E353="Sí",N(C353),0)</f>
        <v/>
      </c>
      <c r="G353" s="22">
        <f>IF(A353="","",MONTH(A353))</f>
        <v/>
      </c>
      <c r="H353" s="21">
        <f>IF(A353="","",A353-WEEKDAY(A353,2)+1)</f>
        <v/>
      </c>
    </row>
    <row r="354">
      <c r="A354" s="21">
        <f>IF(352&gt;DATE(Ajustes!$B$3,12,31)-DATE(Ajustes!$B$3,1,1),"",DATE(Ajustes!$B$3,1,1)+352)</f>
        <v/>
      </c>
      <c r="B354" s="22">
        <f>IF(A354="","",CHOOSE(WEEKDAY(A354,2),"Lunes","Martes","Miércoles","Jueves","Viernes","Sábado","Domingo"))</f>
        <v/>
      </c>
      <c r="C354" s="23" t="n"/>
      <c r="D354" s="17" t="n"/>
      <c r="E354" s="22">
        <f>IF(A354="","",IF(OR(COUNTIF(Ajustes!$A$11:$A$40,A354)&gt;0,AND(Ajustes!$B$6="Sí",WEEKDAY(A354,2)=7)),"Sí",""))</f>
        <v/>
      </c>
      <c r="F354" s="24">
        <f>IF(E354="Sí",N(C354),0)</f>
        <v/>
      </c>
      <c r="G354" s="22">
        <f>IF(A354="","",MONTH(A354))</f>
        <v/>
      </c>
      <c r="H354" s="21">
        <f>IF(A354="","",A354-WEEKDAY(A354,2)+1)</f>
        <v/>
      </c>
    </row>
    <row r="355">
      <c r="A355" s="21">
        <f>IF(353&gt;DATE(Ajustes!$B$3,12,31)-DATE(Ajustes!$B$3,1,1),"",DATE(Ajustes!$B$3,1,1)+353)</f>
        <v/>
      </c>
      <c r="B355" s="22">
        <f>IF(A355="","",CHOOSE(WEEKDAY(A355,2),"Lunes","Martes","Miércoles","Jueves","Viernes","Sábado","Domingo"))</f>
        <v/>
      </c>
      <c r="C355" s="23" t="n"/>
      <c r="D355" s="17" t="n"/>
      <c r="E355" s="22">
        <f>IF(A355="","",IF(OR(COUNTIF(Ajustes!$A$11:$A$40,A355)&gt;0,AND(Ajustes!$B$6="Sí",WEEKDAY(A355,2)=7)),"Sí",""))</f>
        <v/>
      </c>
      <c r="F355" s="24">
        <f>IF(E355="Sí",N(C355),0)</f>
        <v/>
      </c>
      <c r="G355" s="22">
        <f>IF(A355="","",MONTH(A355))</f>
        <v/>
      </c>
      <c r="H355" s="21">
        <f>IF(A355="","",A355-WEEKDAY(A355,2)+1)</f>
        <v/>
      </c>
    </row>
    <row r="356">
      <c r="A356" s="21">
        <f>IF(354&gt;DATE(Ajustes!$B$3,12,31)-DATE(Ajustes!$B$3,1,1),"",DATE(Ajustes!$B$3,1,1)+354)</f>
        <v/>
      </c>
      <c r="B356" s="22">
        <f>IF(A356="","",CHOOSE(WEEKDAY(A356,2),"Lunes","Martes","Miércoles","Jueves","Viernes","Sábado","Domingo"))</f>
        <v/>
      </c>
      <c r="C356" s="23" t="n"/>
      <c r="D356" s="17" t="n"/>
      <c r="E356" s="22">
        <f>IF(A356="","",IF(OR(COUNTIF(Ajustes!$A$11:$A$40,A356)&gt;0,AND(Ajustes!$B$6="Sí",WEEKDAY(A356,2)=7)),"Sí",""))</f>
        <v/>
      </c>
      <c r="F356" s="24">
        <f>IF(E356="Sí",N(C356),0)</f>
        <v/>
      </c>
      <c r="G356" s="22">
        <f>IF(A356="","",MONTH(A356))</f>
        <v/>
      </c>
      <c r="H356" s="21">
        <f>IF(A356="","",A356-WEEKDAY(A356,2)+1)</f>
        <v/>
      </c>
    </row>
    <row r="357">
      <c r="A357" s="21">
        <f>IF(355&gt;DATE(Ajustes!$B$3,12,31)-DATE(Ajustes!$B$3,1,1),"",DATE(Ajustes!$B$3,1,1)+355)</f>
        <v/>
      </c>
      <c r="B357" s="22">
        <f>IF(A357="","",CHOOSE(WEEKDAY(A357,2),"Lunes","Martes","Miércoles","Jueves","Viernes","Sábado","Domingo"))</f>
        <v/>
      </c>
      <c r="C357" s="23" t="n"/>
      <c r="D357" s="17" t="n"/>
      <c r="E357" s="22">
        <f>IF(A357="","",IF(OR(COUNTIF(Ajustes!$A$11:$A$40,A357)&gt;0,AND(Ajustes!$B$6="Sí",WEEKDAY(A357,2)=7)),"Sí",""))</f>
        <v/>
      </c>
      <c r="F357" s="24">
        <f>IF(E357="Sí",N(C357),0)</f>
        <v/>
      </c>
      <c r="G357" s="22">
        <f>IF(A357="","",MONTH(A357))</f>
        <v/>
      </c>
      <c r="H357" s="21">
        <f>IF(A357="","",A357-WEEKDAY(A357,2)+1)</f>
        <v/>
      </c>
    </row>
    <row r="358">
      <c r="A358" s="21">
        <f>IF(356&gt;DATE(Ajustes!$B$3,12,31)-DATE(Ajustes!$B$3,1,1),"",DATE(Ajustes!$B$3,1,1)+356)</f>
        <v/>
      </c>
      <c r="B358" s="22">
        <f>IF(A358="","",CHOOSE(WEEKDAY(A358,2),"Lunes","Martes","Miércoles","Jueves","Viernes","Sábado","Domingo"))</f>
        <v/>
      </c>
      <c r="C358" s="23" t="n"/>
      <c r="D358" s="17" t="n"/>
      <c r="E358" s="22">
        <f>IF(A358="","",IF(OR(COUNTIF(Ajustes!$A$11:$A$40,A358)&gt;0,AND(Ajustes!$B$6="Sí",WEEKDAY(A358,2)=7)),"Sí",""))</f>
        <v/>
      </c>
      <c r="F358" s="24">
        <f>IF(E358="Sí",N(C358),0)</f>
        <v/>
      </c>
      <c r="G358" s="22">
        <f>IF(A358="","",MONTH(A358))</f>
        <v/>
      </c>
      <c r="H358" s="21">
        <f>IF(A358="","",A358-WEEKDAY(A358,2)+1)</f>
        <v/>
      </c>
    </row>
    <row r="359">
      <c r="A359" s="21">
        <f>IF(357&gt;DATE(Ajustes!$B$3,12,31)-DATE(Ajustes!$B$3,1,1),"",DATE(Ajustes!$B$3,1,1)+357)</f>
        <v/>
      </c>
      <c r="B359" s="22">
        <f>IF(A359="","",CHOOSE(WEEKDAY(A359,2),"Lunes","Martes","Miércoles","Jueves","Viernes","Sábado","Domingo"))</f>
        <v/>
      </c>
      <c r="C359" s="23" t="n"/>
      <c r="D359" s="17" t="n"/>
      <c r="E359" s="22">
        <f>IF(A359="","",IF(OR(COUNTIF(Ajustes!$A$11:$A$40,A359)&gt;0,AND(Ajustes!$B$6="Sí",WEEKDAY(A359,2)=7)),"Sí",""))</f>
        <v/>
      </c>
      <c r="F359" s="24">
        <f>IF(E359="Sí",N(C359),0)</f>
        <v/>
      </c>
      <c r="G359" s="22">
        <f>IF(A359="","",MONTH(A359))</f>
        <v/>
      </c>
      <c r="H359" s="21">
        <f>IF(A359="","",A359-WEEKDAY(A359,2)+1)</f>
        <v/>
      </c>
    </row>
    <row r="360">
      <c r="A360" s="21">
        <f>IF(358&gt;DATE(Ajustes!$B$3,12,31)-DATE(Ajustes!$B$3,1,1),"",DATE(Ajustes!$B$3,1,1)+358)</f>
        <v/>
      </c>
      <c r="B360" s="22">
        <f>IF(A360="","",CHOOSE(WEEKDAY(A360,2),"Lunes","Martes","Miércoles","Jueves","Viernes","Sábado","Domingo"))</f>
        <v/>
      </c>
      <c r="C360" s="23" t="n"/>
      <c r="D360" s="17" t="n"/>
      <c r="E360" s="22">
        <f>IF(A360="","",IF(OR(COUNTIF(Ajustes!$A$11:$A$40,A360)&gt;0,AND(Ajustes!$B$6="Sí",WEEKDAY(A360,2)=7)),"Sí",""))</f>
        <v/>
      </c>
      <c r="F360" s="24">
        <f>IF(E360="Sí",N(C360),0)</f>
        <v/>
      </c>
      <c r="G360" s="22">
        <f>IF(A360="","",MONTH(A360))</f>
        <v/>
      </c>
      <c r="H360" s="21">
        <f>IF(A360="","",A360-WEEKDAY(A360,2)+1)</f>
        <v/>
      </c>
    </row>
    <row r="361">
      <c r="A361" s="21">
        <f>IF(359&gt;DATE(Ajustes!$B$3,12,31)-DATE(Ajustes!$B$3,1,1),"",DATE(Ajustes!$B$3,1,1)+359)</f>
        <v/>
      </c>
      <c r="B361" s="22">
        <f>IF(A361="","",CHOOSE(WEEKDAY(A361,2),"Lunes","Martes","Miércoles","Jueves","Viernes","Sábado","Domingo"))</f>
        <v/>
      </c>
      <c r="C361" s="23" t="n"/>
      <c r="D361" s="17" t="n"/>
      <c r="E361" s="22">
        <f>IF(A361="","",IF(OR(COUNTIF(Ajustes!$A$11:$A$40,A361)&gt;0,AND(Ajustes!$B$6="Sí",WEEKDAY(A361,2)=7)),"Sí",""))</f>
        <v/>
      </c>
      <c r="F361" s="24">
        <f>IF(E361="Sí",N(C361),0)</f>
        <v/>
      </c>
      <c r="G361" s="22">
        <f>IF(A361="","",MONTH(A361))</f>
        <v/>
      </c>
      <c r="H361" s="21">
        <f>IF(A361="","",A361-WEEKDAY(A361,2)+1)</f>
        <v/>
      </c>
    </row>
    <row r="362">
      <c r="A362" s="21">
        <f>IF(360&gt;DATE(Ajustes!$B$3,12,31)-DATE(Ajustes!$B$3,1,1),"",DATE(Ajustes!$B$3,1,1)+360)</f>
        <v/>
      </c>
      <c r="B362" s="22">
        <f>IF(A362="","",CHOOSE(WEEKDAY(A362,2),"Lunes","Martes","Miércoles","Jueves","Viernes","Sábado","Domingo"))</f>
        <v/>
      </c>
      <c r="C362" s="23" t="n"/>
      <c r="D362" s="17" t="n"/>
      <c r="E362" s="22">
        <f>IF(A362="","",IF(OR(COUNTIF(Ajustes!$A$11:$A$40,A362)&gt;0,AND(Ajustes!$B$6="Sí",WEEKDAY(A362,2)=7)),"Sí",""))</f>
        <v/>
      </c>
      <c r="F362" s="24">
        <f>IF(E362="Sí",N(C362),0)</f>
        <v/>
      </c>
      <c r="G362" s="22">
        <f>IF(A362="","",MONTH(A362))</f>
        <v/>
      </c>
      <c r="H362" s="21">
        <f>IF(A362="","",A362-WEEKDAY(A362,2)+1)</f>
        <v/>
      </c>
    </row>
    <row r="363">
      <c r="A363" s="21">
        <f>IF(361&gt;DATE(Ajustes!$B$3,12,31)-DATE(Ajustes!$B$3,1,1),"",DATE(Ajustes!$B$3,1,1)+361)</f>
        <v/>
      </c>
      <c r="B363" s="22">
        <f>IF(A363="","",CHOOSE(WEEKDAY(A363,2),"Lunes","Martes","Miércoles","Jueves","Viernes","Sábado","Domingo"))</f>
        <v/>
      </c>
      <c r="C363" s="23" t="n"/>
      <c r="D363" s="17" t="n"/>
      <c r="E363" s="22">
        <f>IF(A363="","",IF(OR(COUNTIF(Ajustes!$A$11:$A$40,A363)&gt;0,AND(Ajustes!$B$6="Sí",WEEKDAY(A363,2)=7)),"Sí",""))</f>
        <v/>
      </c>
      <c r="F363" s="24">
        <f>IF(E363="Sí",N(C363),0)</f>
        <v/>
      </c>
      <c r="G363" s="22">
        <f>IF(A363="","",MONTH(A363))</f>
        <v/>
      </c>
      <c r="H363" s="21">
        <f>IF(A363="","",A363-WEEKDAY(A363,2)+1)</f>
        <v/>
      </c>
    </row>
    <row r="364">
      <c r="A364" s="21">
        <f>IF(362&gt;DATE(Ajustes!$B$3,12,31)-DATE(Ajustes!$B$3,1,1),"",DATE(Ajustes!$B$3,1,1)+362)</f>
        <v/>
      </c>
      <c r="B364" s="22">
        <f>IF(A364="","",CHOOSE(WEEKDAY(A364,2),"Lunes","Martes","Miércoles","Jueves","Viernes","Sábado","Domingo"))</f>
        <v/>
      </c>
      <c r="C364" s="23" t="n"/>
      <c r="D364" s="17" t="n"/>
      <c r="E364" s="22">
        <f>IF(A364="","",IF(OR(COUNTIF(Ajustes!$A$11:$A$40,A364)&gt;0,AND(Ajustes!$B$6="Sí",WEEKDAY(A364,2)=7)),"Sí",""))</f>
        <v/>
      </c>
      <c r="F364" s="24">
        <f>IF(E364="Sí",N(C364),0)</f>
        <v/>
      </c>
      <c r="G364" s="22">
        <f>IF(A364="","",MONTH(A364))</f>
        <v/>
      </c>
      <c r="H364" s="21">
        <f>IF(A364="","",A364-WEEKDAY(A364,2)+1)</f>
        <v/>
      </c>
    </row>
    <row r="365">
      <c r="A365" s="21">
        <f>IF(363&gt;DATE(Ajustes!$B$3,12,31)-DATE(Ajustes!$B$3,1,1),"",DATE(Ajustes!$B$3,1,1)+363)</f>
        <v/>
      </c>
      <c r="B365" s="22">
        <f>IF(A365="","",CHOOSE(WEEKDAY(A365,2),"Lunes","Martes","Miércoles","Jueves","Viernes","Sábado","Domingo"))</f>
        <v/>
      </c>
      <c r="C365" s="23" t="n"/>
      <c r="D365" s="17" t="n"/>
      <c r="E365" s="22">
        <f>IF(A365="","",IF(OR(COUNTIF(Ajustes!$A$11:$A$40,A365)&gt;0,AND(Ajustes!$B$6="Sí",WEEKDAY(A365,2)=7)),"Sí",""))</f>
        <v/>
      </c>
      <c r="F365" s="24">
        <f>IF(E365="Sí",N(C365),0)</f>
        <v/>
      </c>
      <c r="G365" s="22">
        <f>IF(A365="","",MONTH(A365))</f>
        <v/>
      </c>
      <c r="H365" s="21">
        <f>IF(A365="","",A365-WEEKDAY(A365,2)+1)</f>
        <v/>
      </c>
    </row>
    <row r="366">
      <c r="A366" s="21">
        <f>IF(364&gt;DATE(Ajustes!$B$3,12,31)-DATE(Ajustes!$B$3,1,1),"",DATE(Ajustes!$B$3,1,1)+364)</f>
        <v/>
      </c>
      <c r="B366" s="22">
        <f>IF(A366="","",CHOOSE(WEEKDAY(A366,2),"Lunes","Martes","Miércoles","Jueves","Viernes","Sábado","Domingo"))</f>
        <v/>
      </c>
      <c r="C366" s="23" t="n"/>
      <c r="D366" s="17" t="n"/>
      <c r="E366" s="22">
        <f>IF(A366="","",IF(OR(COUNTIF(Ajustes!$A$11:$A$40,A366)&gt;0,AND(Ajustes!$B$6="Sí",WEEKDAY(A366,2)=7)),"Sí",""))</f>
        <v/>
      </c>
      <c r="F366" s="24">
        <f>IF(E366="Sí",N(C366),0)</f>
        <v/>
      </c>
      <c r="G366" s="22">
        <f>IF(A366="","",MONTH(A366))</f>
        <v/>
      </c>
      <c r="H366" s="21">
        <f>IF(A366="","",A366-WEEKDAY(A366,2)+1)</f>
        <v/>
      </c>
    </row>
    <row r="367">
      <c r="A367" s="21">
        <f>IF(365&gt;DATE(Ajustes!$B$3,12,31)-DATE(Ajustes!$B$3,1,1),"",DATE(Ajustes!$B$3,1,1)+365)</f>
        <v/>
      </c>
      <c r="B367" s="22">
        <f>IF(A367="","",CHOOSE(WEEKDAY(A367,2),"Lunes","Martes","Miércoles","Jueves","Viernes","Sábado","Domingo"))</f>
        <v/>
      </c>
      <c r="C367" s="23" t="n"/>
      <c r="D367" s="17" t="n"/>
      <c r="E367" s="22">
        <f>IF(A367="","",IF(OR(COUNTIF(Ajustes!$A$11:$A$40,A367)&gt;0,AND(Ajustes!$B$6="Sí",WEEKDAY(A367,2)=7)),"Sí",""))</f>
        <v/>
      </c>
      <c r="F367" s="24">
        <f>IF(E367="Sí",N(C367),0)</f>
        <v/>
      </c>
      <c r="G367" s="22">
        <f>IF(A367="","",MONTH(A367))</f>
        <v/>
      </c>
      <c r="H367" s="21">
        <f>IF(A367="","",A367-WEEKDAY(A367,2)+1)</f>
        <v/>
      </c>
    </row>
  </sheetData>
  <conditionalFormatting sqref="A2:H367">
    <cfRule type="expression" priority="1" dxfId="0" stopIfTrue="1">
      <formula>$E2="Sí"</formula>
    </cfRule>
    <cfRule type="expression" priority="2" dxfId="1">
      <formula>AND($A2&lt;&gt;"",WEEKDAY($A2,2)&gt;=6)</formula>
    </cfRule>
  </conditionalFormatting>
  <dataValidations count="2">
    <dataValidation sqref="D2:D367" showDropDown="0" showInputMessage="0" showErrorMessage="0" allowBlank="1" type="list">
      <formula1>"Trabajo,Vacaciones,Baja,Permiso,Libre,Otro"</formula1>
    </dataValidation>
    <dataValidation sqref="C2:C367" showDropDown="0" showInputMessage="0" showErrorMessage="1" allowBlank="1" errorTitle="Horas no válidas" error="Escribe las horas en decimal entre 0 y 24 (6,5 = 6 h 30 min)." type="decimal" operator="between">
      <formula1>0</formula1>
      <formula2>24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5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14" customWidth="1" min="4" max="4"/>
    <col width="16" customWidth="1" min="5" max="5"/>
    <col width="12" customWidth="1" min="6" max="6"/>
    <col width="14" customWidth="1" min="7" max="7"/>
    <col width="18" customWidth="1" min="8" max="8"/>
    <col width="14" customWidth="1" min="9" max="9"/>
  </cols>
  <sheetData>
    <row r="1">
      <c r="A1" s="1" t="inlineStr">
        <is>
          <t>Resumen anual</t>
        </is>
      </c>
      <c r="D1" s="5">
        <f>"Año "&amp;Ajustes!B3</f>
        <v/>
      </c>
    </row>
    <row r="3" ht="32" customHeight="1">
      <c r="A3" s="20" t="inlineStr">
        <is>
          <t>Mes</t>
        </is>
      </c>
      <c r="B3" s="20" t="inlineStr">
        <is>
          <t>Horas trabajadas</t>
        </is>
      </c>
      <c r="C3" s="20" t="inlineStr">
        <is>
          <t>Horas festivas</t>
        </is>
      </c>
      <c r="D3" s="20" t="inlineStr">
        <is>
          <t>Días con horas</t>
        </is>
      </c>
      <c r="E3" s="20" t="inlineStr">
        <is>
          <t>Vacaciones (días)</t>
        </is>
      </c>
      <c r="F3" s="20" t="inlineStr">
        <is>
          <t>Baja (días)</t>
        </is>
      </c>
      <c r="G3" s="20" t="inlineStr">
        <is>
          <t>Permiso (días)</t>
        </is>
      </c>
      <c r="H3" s="20" t="inlineStr">
        <is>
          <t>Horas reales (nómina)</t>
        </is>
      </c>
      <c r="I3" s="20" t="inlineStr">
        <is>
          <t>Diferencia</t>
        </is>
      </c>
    </row>
    <row r="4">
      <c r="A4" s="25" t="inlineStr">
        <is>
          <t>Enero</t>
        </is>
      </c>
      <c r="B4" s="26">
        <f>SUMIFS(Registro!$C$2:$C$367,Registro!$G$2:$G$367,1)</f>
        <v/>
      </c>
      <c r="C4" s="26">
        <f>SUMIFS(Registro!$F$2:$F$367,Registro!$G$2:$G$367,1)</f>
        <v/>
      </c>
      <c r="D4" s="27">
        <f>COUNTIFS(Registro!$G$2:$G$367,1,Registro!$C$2:$C$367,"&gt;0")</f>
        <v/>
      </c>
      <c r="E4" s="27">
        <f>COUNTIFS(Registro!$G$2:$G$367,1,Registro!$D$2:$D$367,"Vacaciones")</f>
        <v/>
      </c>
      <c r="F4" s="27">
        <f>COUNTIFS(Registro!$G$2:$G$367,1,Registro!$D$2:$D$367,"Baja")</f>
        <v/>
      </c>
      <c r="G4" s="27">
        <f>COUNTIFS(Registro!$G$2:$G$367,1,Registro!$D$2:$D$367,"Permiso")</f>
        <v/>
      </c>
      <c r="H4" s="28" t="n"/>
      <c r="I4" s="29">
        <f>IF(H4="","",B4-H4)</f>
        <v/>
      </c>
    </row>
    <row r="5">
      <c r="A5" s="25" t="inlineStr">
        <is>
          <t>Febrero</t>
        </is>
      </c>
      <c r="B5" s="26">
        <f>SUMIFS(Registro!$C$2:$C$367,Registro!$G$2:$G$367,2)</f>
        <v/>
      </c>
      <c r="C5" s="26">
        <f>SUMIFS(Registro!$F$2:$F$367,Registro!$G$2:$G$367,2)</f>
        <v/>
      </c>
      <c r="D5" s="27">
        <f>COUNTIFS(Registro!$G$2:$G$367,2,Registro!$C$2:$C$367,"&gt;0")</f>
        <v/>
      </c>
      <c r="E5" s="27">
        <f>COUNTIFS(Registro!$G$2:$G$367,2,Registro!$D$2:$D$367,"Vacaciones")</f>
        <v/>
      </c>
      <c r="F5" s="27">
        <f>COUNTIFS(Registro!$G$2:$G$367,2,Registro!$D$2:$D$367,"Baja")</f>
        <v/>
      </c>
      <c r="G5" s="27">
        <f>COUNTIFS(Registro!$G$2:$G$367,2,Registro!$D$2:$D$367,"Permiso")</f>
        <v/>
      </c>
      <c r="H5" s="28" t="n"/>
      <c r="I5" s="29">
        <f>IF(H5="","",B5-H5)</f>
        <v/>
      </c>
    </row>
    <row r="6">
      <c r="A6" s="25" t="inlineStr">
        <is>
          <t>Marzo</t>
        </is>
      </c>
      <c r="B6" s="26">
        <f>SUMIFS(Registro!$C$2:$C$367,Registro!$G$2:$G$367,3)</f>
        <v/>
      </c>
      <c r="C6" s="26">
        <f>SUMIFS(Registro!$F$2:$F$367,Registro!$G$2:$G$367,3)</f>
        <v/>
      </c>
      <c r="D6" s="27">
        <f>COUNTIFS(Registro!$G$2:$G$367,3,Registro!$C$2:$C$367,"&gt;0")</f>
        <v/>
      </c>
      <c r="E6" s="27">
        <f>COUNTIFS(Registro!$G$2:$G$367,3,Registro!$D$2:$D$367,"Vacaciones")</f>
        <v/>
      </c>
      <c r="F6" s="27">
        <f>COUNTIFS(Registro!$G$2:$G$367,3,Registro!$D$2:$D$367,"Baja")</f>
        <v/>
      </c>
      <c r="G6" s="27">
        <f>COUNTIFS(Registro!$G$2:$G$367,3,Registro!$D$2:$D$367,"Permiso")</f>
        <v/>
      </c>
      <c r="H6" s="28" t="n"/>
      <c r="I6" s="29">
        <f>IF(H6="","",B6-H6)</f>
        <v/>
      </c>
    </row>
    <row r="7">
      <c r="A7" s="25" t="inlineStr">
        <is>
          <t>Abril</t>
        </is>
      </c>
      <c r="B7" s="26">
        <f>SUMIFS(Registro!$C$2:$C$367,Registro!$G$2:$G$367,4)</f>
        <v/>
      </c>
      <c r="C7" s="26">
        <f>SUMIFS(Registro!$F$2:$F$367,Registro!$G$2:$G$367,4)</f>
        <v/>
      </c>
      <c r="D7" s="27">
        <f>COUNTIFS(Registro!$G$2:$G$367,4,Registro!$C$2:$C$367,"&gt;0")</f>
        <v/>
      </c>
      <c r="E7" s="27">
        <f>COUNTIFS(Registro!$G$2:$G$367,4,Registro!$D$2:$D$367,"Vacaciones")</f>
        <v/>
      </c>
      <c r="F7" s="27">
        <f>COUNTIFS(Registro!$G$2:$G$367,4,Registro!$D$2:$D$367,"Baja")</f>
        <v/>
      </c>
      <c r="G7" s="27">
        <f>COUNTIFS(Registro!$G$2:$G$367,4,Registro!$D$2:$D$367,"Permiso")</f>
        <v/>
      </c>
      <c r="H7" s="28" t="n"/>
      <c r="I7" s="29">
        <f>IF(H7="","",B7-H7)</f>
        <v/>
      </c>
    </row>
    <row r="8">
      <c r="A8" s="25" t="inlineStr">
        <is>
          <t>Mayo</t>
        </is>
      </c>
      <c r="B8" s="26">
        <f>SUMIFS(Registro!$C$2:$C$367,Registro!$G$2:$G$367,5)</f>
        <v/>
      </c>
      <c r="C8" s="26">
        <f>SUMIFS(Registro!$F$2:$F$367,Registro!$G$2:$G$367,5)</f>
        <v/>
      </c>
      <c r="D8" s="27">
        <f>COUNTIFS(Registro!$G$2:$G$367,5,Registro!$C$2:$C$367,"&gt;0")</f>
        <v/>
      </c>
      <c r="E8" s="27">
        <f>COUNTIFS(Registro!$G$2:$G$367,5,Registro!$D$2:$D$367,"Vacaciones")</f>
        <v/>
      </c>
      <c r="F8" s="27">
        <f>COUNTIFS(Registro!$G$2:$G$367,5,Registro!$D$2:$D$367,"Baja")</f>
        <v/>
      </c>
      <c r="G8" s="27">
        <f>COUNTIFS(Registro!$G$2:$G$367,5,Registro!$D$2:$D$367,"Permiso")</f>
        <v/>
      </c>
      <c r="H8" s="28" t="n"/>
      <c r="I8" s="29">
        <f>IF(H8="","",B8-H8)</f>
        <v/>
      </c>
    </row>
    <row r="9">
      <c r="A9" s="25" t="inlineStr">
        <is>
          <t>Junio</t>
        </is>
      </c>
      <c r="B9" s="26">
        <f>SUMIFS(Registro!$C$2:$C$367,Registro!$G$2:$G$367,6)</f>
        <v/>
      </c>
      <c r="C9" s="26">
        <f>SUMIFS(Registro!$F$2:$F$367,Registro!$G$2:$G$367,6)</f>
        <v/>
      </c>
      <c r="D9" s="27">
        <f>COUNTIFS(Registro!$G$2:$G$367,6,Registro!$C$2:$C$367,"&gt;0")</f>
        <v/>
      </c>
      <c r="E9" s="27">
        <f>COUNTIFS(Registro!$G$2:$G$367,6,Registro!$D$2:$D$367,"Vacaciones")</f>
        <v/>
      </c>
      <c r="F9" s="27">
        <f>COUNTIFS(Registro!$G$2:$G$367,6,Registro!$D$2:$D$367,"Baja")</f>
        <v/>
      </c>
      <c r="G9" s="27">
        <f>COUNTIFS(Registro!$G$2:$G$367,6,Registro!$D$2:$D$367,"Permiso")</f>
        <v/>
      </c>
      <c r="H9" s="28" t="n"/>
      <c r="I9" s="29">
        <f>IF(H9="","",B9-H9)</f>
        <v/>
      </c>
    </row>
    <row r="10">
      <c r="A10" s="25" t="inlineStr">
        <is>
          <t>Julio</t>
        </is>
      </c>
      <c r="B10" s="26">
        <f>SUMIFS(Registro!$C$2:$C$367,Registro!$G$2:$G$367,7)</f>
        <v/>
      </c>
      <c r="C10" s="26">
        <f>SUMIFS(Registro!$F$2:$F$367,Registro!$G$2:$G$367,7)</f>
        <v/>
      </c>
      <c r="D10" s="27">
        <f>COUNTIFS(Registro!$G$2:$G$367,7,Registro!$C$2:$C$367,"&gt;0")</f>
        <v/>
      </c>
      <c r="E10" s="27">
        <f>COUNTIFS(Registro!$G$2:$G$367,7,Registro!$D$2:$D$367,"Vacaciones")</f>
        <v/>
      </c>
      <c r="F10" s="27">
        <f>COUNTIFS(Registro!$G$2:$G$367,7,Registro!$D$2:$D$367,"Baja")</f>
        <v/>
      </c>
      <c r="G10" s="27">
        <f>COUNTIFS(Registro!$G$2:$G$367,7,Registro!$D$2:$D$367,"Permiso")</f>
        <v/>
      </c>
      <c r="H10" s="28" t="n"/>
      <c r="I10" s="29">
        <f>IF(H10="","",B10-H10)</f>
        <v/>
      </c>
    </row>
    <row r="11">
      <c r="A11" s="25" t="inlineStr">
        <is>
          <t>Agosto</t>
        </is>
      </c>
      <c r="B11" s="26">
        <f>SUMIFS(Registro!$C$2:$C$367,Registro!$G$2:$G$367,8)</f>
        <v/>
      </c>
      <c r="C11" s="26">
        <f>SUMIFS(Registro!$F$2:$F$367,Registro!$G$2:$G$367,8)</f>
        <v/>
      </c>
      <c r="D11" s="27">
        <f>COUNTIFS(Registro!$G$2:$G$367,8,Registro!$C$2:$C$367,"&gt;0")</f>
        <v/>
      </c>
      <c r="E11" s="27">
        <f>COUNTIFS(Registro!$G$2:$G$367,8,Registro!$D$2:$D$367,"Vacaciones")</f>
        <v/>
      </c>
      <c r="F11" s="27">
        <f>COUNTIFS(Registro!$G$2:$G$367,8,Registro!$D$2:$D$367,"Baja")</f>
        <v/>
      </c>
      <c r="G11" s="27">
        <f>COUNTIFS(Registro!$G$2:$G$367,8,Registro!$D$2:$D$367,"Permiso")</f>
        <v/>
      </c>
      <c r="H11" s="28" t="n"/>
      <c r="I11" s="29">
        <f>IF(H11="","",B11-H11)</f>
        <v/>
      </c>
    </row>
    <row r="12">
      <c r="A12" s="25" t="inlineStr">
        <is>
          <t>Septiembre</t>
        </is>
      </c>
      <c r="B12" s="26">
        <f>SUMIFS(Registro!$C$2:$C$367,Registro!$G$2:$G$367,9)</f>
        <v/>
      </c>
      <c r="C12" s="26">
        <f>SUMIFS(Registro!$F$2:$F$367,Registro!$G$2:$G$367,9)</f>
        <v/>
      </c>
      <c r="D12" s="27">
        <f>COUNTIFS(Registro!$G$2:$G$367,9,Registro!$C$2:$C$367,"&gt;0")</f>
        <v/>
      </c>
      <c r="E12" s="27">
        <f>COUNTIFS(Registro!$G$2:$G$367,9,Registro!$D$2:$D$367,"Vacaciones")</f>
        <v/>
      </c>
      <c r="F12" s="27">
        <f>COUNTIFS(Registro!$G$2:$G$367,9,Registro!$D$2:$D$367,"Baja")</f>
        <v/>
      </c>
      <c r="G12" s="27">
        <f>COUNTIFS(Registro!$G$2:$G$367,9,Registro!$D$2:$D$367,"Permiso")</f>
        <v/>
      </c>
      <c r="H12" s="28" t="n"/>
      <c r="I12" s="29">
        <f>IF(H12="","",B12-H12)</f>
        <v/>
      </c>
    </row>
    <row r="13">
      <c r="A13" s="25" t="inlineStr">
        <is>
          <t>Octubre</t>
        </is>
      </c>
      <c r="B13" s="26">
        <f>SUMIFS(Registro!$C$2:$C$367,Registro!$G$2:$G$367,10)</f>
        <v/>
      </c>
      <c r="C13" s="26">
        <f>SUMIFS(Registro!$F$2:$F$367,Registro!$G$2:$G$367,10)</f>
        <v/>
      </c>
      <c r="D13" s="27">
        <f>COUNTIFS(Registro!$G$2:$G$367,10,Registro!$C$2:$C$367,"&gt;0")</f>
        <v/>
      </c>
      <c r="E13" s="27">
        <f>COUNTIFS(Registro!$G$2:$G$367,10,Registro!$D$2:$D$367,"Vacaciones")</f>
        <v/>
      </c>
      <c r="F13" s="27">
        <f>COUNTIFS(Registro!$G$2:$G$367,10,Registro!$D$2:$D$367,"Baja")</f>
        <v/>
      </c>
      <c r="G13" s="27">
        <f>COUNTIFS(Registro!$G$2:$G$367,10,Registro!$D$2:$D$367,"Permiso")</f>
        <v/>
      </c>
      <c r="H13" s="28" t="n"/>
      <c r="I13" s="29">
        <f>IF(H13="","",B13-H13)</f>
        <v/>
      </c>
    </row>
    <row r="14">
      <c r="A14" s="25" t="inlineStr">
        <is>
          <t>Noviembre</t>
        </is>
      </c>
      <c r="B14" s="26">
        <f>SUMIFS(Registro!$C$2:$C$367,Registro!$G$2:$G$367,11)</f>
        <v/>
      </c>
      <c r="C14" s="26">
        <f>SUMIFS(Registro!$F$2:$F$367,Registro!$G$2:$G$367,11)</f>
        <v/>
      </c>
      <c r="D14" s="27">
        <f>COUNTIFS(Registro!$G$2:$G$367,11,Registro!$C$2:$C$367,"&gt;0")</f>
        <v/>
      </c>
      <c r="E14" s="27">
        <f>COUNTIFS(Registro!$G$2:$G$367,11,Registro!$D$2:$D$367,"Vacaciones")</f>
        <v/>
      </c>
      <c r="F14" s="27">
        <f>COUNTIFS(Registro!$G$2:$G$367,11,Registro!$D$2:$D$367,"Baja")</f>
        <v/>
      </c>
      <c r="G14" s="27">
        <f>COUNTIFS(Registro!$G$2:$G$367,11,Registro!$D$2:$D$367,"Permiso")</f>
        <v/>
      </c>
      <c r="H14" s="28" t="n"/>
      <c r="I14" s="29">
        <f>IF(H14="","",B14-H14)</f>
        <v/>
      </c>
    </row>
    <row r="15">
      <c r="A15" s="25" t="inlineStr">
        <is>
          <t>Diciembre</t>
        </is>
      </c>
      <c r="B15" s="26">
        <f>SUMIFS(Registro!$C$2:$C$367,Registro!$G$2:$G$367,12)</f>
        <v/>
      </c>
      <c r="C15" s="26">
        <f>SUMIFS(Registro!$F$2:$F$367,Registro!$G$2:$G$367,12)</f>
        <v/>
      </c>
      <c r="D15" s="27">
        <f>COUNTIFS(Registro!$G$2:$G$367,12,Registro!$C$2:$C$367,"&gt;0")</f>
        <v/>
      </c>
      <c r="E15" s="27">
        <f>COUNTIFS(Registro!$G$2:$G$367,12,Registro!$D$2:$D$367,"Vacaciones")</f>
        <v/>
      </c>
      <c r="F15" s="27">
        <f>COUNTIFS(Registro!$G$2:$G$367,12,Registro!$D$2:$D$367,"Baja")</f>
        <v/>
      </c>
      <c r="G15" s="27">
        <f>COUNTIFS(Registro!$G$2:$G$367,12,Registro!$D$2:$D$367,"Permiso")</f>
        <v/>
      </c>
      <c r="H15" s="28" t="n"/>
      <c r="I15" s="29">
        <f>IF(H15="","",B15-H15)</f>
        <v/>
      </c>
    </row>
    <row r="16">
      <c r="A16" s="30" t="inlineStr">
        <is>
          <t>TOTAL AÑO</t>
        </is>
      </c>
      <c r="B16" s="31">
        <f>SUM(B4:B15)</f>
        <v/>
      </c>
      <c r="C16" s="31">
        <f>SUM(C4:C15)</f>
        <v/>
      </c>
      <c r="D16" s="32">
        <f>SUM(D4:D15)</f>
        <v/>
      </c>
      <c r="E16" s="32">
        <f>SUM(E4:E15)</f>
        <v/>
      </c>
      <c r="F16" s="32">
        <f>SUM(F4:F15)</f>
        <v/>
      </c>
      <c r="G16" s="32">
        <f>SUM(G4:G15)</f>
        <v/>
      </c>
      <c r="H16" s="31">
        <f>SUM(H4:H15)</f>
        <v/>
      </c>
      <c r="I16" s="31">
        <f>SUM(I4:I15)</f>
        <v/>
      </c>
    </row>
    <row r="19">
      <c r="A19" s="5" t="inlineStr">
        <is>
          <t>Saldo con la jornada anual</t>
        </is>
      </c>
    </row>
    <row r="20">
      <c r="A20" s="7" t="inlineStr">
        <is>
          <t>Jornada anual del contrato</t>
        </is>
      </c>
      <c r="B20" s="33">
        <f>IF(Ajustes!B4="","(rellénala en Ajustes)",Ajustes!B4)</f>
        <v/>
      </c>
    </row>
    <row r="21">
      <c r="A21" s="7" t="inlineStr">
        <is>
          <t>Horas trabajadas en el año</t>
        </is>
      </c>
      <c r="B21" s="33">
        <f>B16</f>
        <v/>
      </c>
    </row>
    <row r="22">
      <c r="A22" s="7" t="inlineStr">
        <is>
          <t>Saldo (trabajadas − jornada)</t>
        </is>
      </c>
      <c r="B22" s="33">
        <f>IF(Ajustes!B4="","",B16-Ajustes!B4)</f>
        <v/>
      </c>
      <c r="C22" s="2" t="inlineStr">
        <is>
          <t>Saldo del año completo: saldrá negativo hasta que llegues a tu jornada. Positivo = has trabajado más que tu jornada.</t>
        </is>
      </c>
    </row>
    <row r="23">
      <c r="A23" s="7" t="inlineStr">
        <is>
          <t>Diferencia acumulada con la nómina</t>
        </is>
      </c>
      <c r="B23" s="33">
        <f>IF(COUNT(H4:H15)=0,"",I16)</f>
        <v/>
      </c>
      <c r="C23" s="2" t="inlineStr">
        <is>
          <t>Suma solo los meses en los que has puesto las horas reales de la nómina.</t>
        </is>
      </c>
    </row>
    <row r="25">
      <c r="A25" s="2" t="inlineStr">
        <is>
          <t>«Horas reales (nómina)»: cópialas de tu nómina de cada mes (celdas amarillas). «Diferencia» = horas trabajadas − horas reales.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26" customWidth="1" min="4" max="4"/>
  </cols>
  <sheetData>
    <row r="1">
      <c r="A1" s="1" t="inlineStr">
        <is>
          <t>Horas por semana (lunes a domingo)</t>
        </is>
      </c>
    </row>
    <row r="3" ht="32" customHeight="1">
      <c r="A3" s="20" t="inlineStr">
        <is>
          <t>Semana del (lunes)</t>
        </is>
      </c>
      <c r="B3" s="20" t="inlineStr">
        <is>
          <t>al (domingo)</t>
        </is>
      </c>
      <c r="C3" s="20" t="inlineStr">
        <is>
          <t>Horas</t>
        </is>
      </c>
      <c r="D3" s="20" t="inlineStr">
        <is>
          <t>Diferencia con tu jornada semanal</t>
        </is>
      </c>
      <c r="F3" s="2" t="inlineStr">
        <is>
          <t>La primera y la última semana pueden incluir días del año anterior o siguiente: esas horas no se cuentan aquí.</t>
        </is>
      </c>
    </row>
    <row r="4">
      <c r="A4" s="21">
        <f>DATE(Ajustes!$B$3,1,1)-WEEKDAY(DATE(Ajustes!$B$3,1,1),2)+1</f>
        <v/>
      </c>
      <c r="B4" s="21">
        <f>IF(A4="","",A4+6)</f>
        <v/>
      </c>
      <c r="C4" s="26">
        <f>IF(A4="","",SUMIFS(Registro!$C$2:$C$367,Registro!$H$2:$H$367,A4))</f>
        <v/>
      </c>
      <c r="D4" s="29">
        <f>IF(OR(A4="",Ajustes!$B$5=""),"",C4-Ajustes!$B$5)</f>
        <v/>
      </c>
    </row>
    <row r="5">
      <c r="A5" s="21">
        <f>IF(A4="","",IF(A4+7&gt;DATE(Ajustes!$B$3,12,31),"",A4+7))</f>
        <v/>
      </c>
      <c r="B5" s="21">
        <f>IF(A5="","",A5+6)</f>
        <v/>
      </c>
      <c r="C5" s="26">
        <f>IF(A5="","",SUMIFS(Registro!$C$2:$C$367,Registro!$H$2:$H$367,A5))</f>
        <v/>
      </c>
      <c r="D5" s="29">
        <f>IF(OR(A5="",Ajustes!$B$5=""),"",C5-Ajustes!$B$5)</f>
        <v/>
      </c>
    </row>
    <row r="6">
      <c r="A6" s="21">
        <f>IF(A5="","",IF(A5+7&gt;DATE(Ajustes!$B$3,12,31),"",A5+7))</f>
        <v/>
      </c>
      <c r="B6" s="21">
        <f>IF(A6="","",A6+6)</f>
        <v/>
      </c>
      <c r="C6" s="26">
        <f>IF(A6="","",SUMIFS(Registro!$C$2:$C$367,Registro!$H$2:$H$367,A6))</f>
        <v/>
      </c>
      <c r="D6" s="29">
        <f>IF(OR(A6="",Ajustes!$B$5=""),"",C6-Ajustes!$B$5)</f>
        <v/>
      </c>
    </row>
    <row r="7">
      <c r="A7" s="21">
        <f>IF(A6="","",IF(A6+7&gt;DATE(Ajustes!$B$3,12,31),"",A6+7))</f>
        <v/>
      </c>
      <c r="B7" s="21">
        <f>IF(A7="","",A7+6)</f>
        <v/>
      </c>
      <c r="C7" s="26">
        <f>IF(A7="","",SUMIFS(Registro!$C$2:$C$367,Registro!$H$2:$H$367,A7))</f>
        <v/>
      </c>
      <c r="D7" s="29">
        <f>IF(OR(A7="",Ajustes!$B$5=""),"",C7-Ajustes!$B$5)</f>
        <v/>
      </c>
    </row>
    <row r="8">
      <c r="A8" s="21">
        <f>IF(A7="","",IF(A7+7&gt;DATE(Ajustes!$B$3,12,31),"",A7+7))</f>
        <v/>
      </c>
      <c r="B8" s="21">
        <f>IF(A8="","",A8+6)</f>
        <v/>
      </c>
      <c r="C8" s="26">
        <f>IF(A8="","",SUMIFS(Registro!$C$2:$C$367,Registro!$H$2:$H$367,A8))</f>
        <v/>
      </c>
      <c r="D8" s="29">
        <f>IF(OR(A8="",Ajustes!$B$5=""),"",C8-Ajustes!$B$5)</f>
        <v/>
      </c>
    </row>
    <row r="9">
      <c r="A9" s="21">
        <f>IF(A8="","",IF(A8+7&gt;DATE(Ajustes!$B$3,12,31),"",A8+7))</f>
        <v/>
      </c>
      <c r="B9" s="21">
        <f>IF(A9="","",A9+6)</f>
        <v/>
      </c>
      <c r="C9" s="26">
        <f>IF(A9="","",SUMIFS(Registro!$C$2:$C$367,Registro!$H$2:$H$367,A9))</f>
        <v/>
      </c>
      <c r="D9" s="29">
        <f>IF(OR(A9="",Ajustes!$B$5=""),"",C9-Ajustes!$B$5)</f>
        <v/>
      </c>
    </row>
    <row r="10">
      <c r="A10" s="21">
        <f>IF(A9="","",IF(A9+7&gt;DATE(Ajustes!$B$3,12,31),"",A9+7))</f>
        <v/>
      </c>
      <c r="B10" s="21">
        <f>IF(A10="","",A10+6)</f>
        <v/>
      </c>
      <c r="C10" s="26">
        <f>IF(A10="","",SUMIFS(Registro!$C$2:$C$367,Registro!$H$2:$H$367,A10))</f>
        <v/>
      </c>
      <c r="D10" s="29">
        <f>IF(OR(A10="",Ajustes!$B$5=""),"",C10-Ajustes!$B$5)</f>
        <v/>
      </c>
    </row>
    <row r="11">
      <c r="A11" s="21">
        <f>IF(A10="","",IF(A10+7&gt;DATE(Ajustes!$B$3,12,31),"",A10+7))</f>
        <v/>
      </c>
      <c r="B11" s="21">
        <f>IF(A11="","",A11+6)</f>
        <v/>
      </c>
      <c r="C11" s="26">
        <f>IF(A11="","",SUMIFS(Registro!$C$2:$C$367,Registro!$H$2:$H$367,A11))</f>
        <v/>
      </c>
      <c r="D11" s="29">
        <f>IF(OR(A11="",Ajustes!$B$5=""),"",C11-Ajustes!$B$5)</f>
        <v/>
      </c>
    </row>
    <row r="12">
      <c r="A12" s="21">
        <f>IF(A11="","",IF(A11+7&gt;DATE(Ajustes!$B$3,12,31),"",A11+7))</f>
        <v/>
      </c>
      <c r="B12" s="21">
        <f>IF(A12="","",A12+6)</f>
        <v/>
      </c>
      <c r="C12" s="26">
        <f>IF(A12="","",SUMIFS(Registro!$C$2:$C$367,Registro!$H$2:$H$367,A12))</f>
        <v/>
      </c>
      <c r="D12" s="29">
        <f>IF(OR(A12="",Ajustes!$B$5=""),"",C12-Ajustes!$B$5)</f>
        <v/>
      </c>
    </row>
    <row r="13">
      <c r="A13" s="21">
        <f>IF(A12="","",IF(A12+7&gt;DATE(Ajustes!$B$3,12,31),"",A12+7))</f>
        <v/>
      </c>
      <c r="B13" s="21">
        <f>IF(A13="","",A13+6)</f>
        <v/>
      </c>
      <c r="C13" s="26">
        <f>IF(A13="","",SUMIFS(Registro!$C$2:$C$367,Registro!$H$2:$H$367,A13))</f>
        <v/>
      </c>
      <c r="D13" s="29">
        <f>IF(OR(A13="",Ajustes!$B$5=""),"",C13-Ajustes!$B$5)</f>
        <v/>
      </c>
    </row>
    <row r="14">
      <c r="A14" s="21">
        <f>IF(A13="","",IF(A13+7&gt;DATE(Ajustes!$B$3,12,31),"",A13+7))</f>
        <v/>
      </c>
      <c r="B14" s="21">
        <f>IF(A14="","",A14+6)</f>
        <v/>
      </c>
      <c r="C14" s="26">
        <f>IF(A14="","",SUMIFS(Registro!$C$2:$C$367,Registro!$H$2:$H$367,A14))</f>
        <v/>
      </c>
      <c r="D14" s="29">
        <f>IF(OR(A14="",Ajustes!$B$5=""),"",C14-Ajustes!$B$5)</f>
        <v/>
      </c>
    </row>
    <row r="15">
      <c r="A15" s="21">
        <f>IF(A14="","",IF(A14+7&gt;DATE(Ajustes!$B$3,12,31),"",A14+7))</f>
        <v/>
      </c>
      <c r="B15" s="21">
        <f>IF(A15="","",A15+6)</f>
        <v/>
      </c>
      <c r="C15" s="26">
        <f>IF(A15="","",SUMIFS(Registro!$C$2:$C$367,Registro!$H$2:$H$367,A15))</f>
        <v/>
      </c>
      <c r="D15" s="29">
        <f>IF(OR(A15="",Ajustes!$B$5=""),"",C15-Ajustes!$B$5)</f>
        <v/>
      </c>
    </row>
    <row r="16">
      <c r="A16" s="21">
        <f>IF(A15="","",IF(A15+7&gt;DATE(Ajustes!$B$3,12,31),"",A15+7))</f>
        <v/>
      </c>
      <c r="B16" s="21">
        <f>IF(A16="","",A16+6)</f>
        <v/>
      </c>
      <c r="C16" s="26">
        <f>IF(A16="","",SUMIFS(Registro!$C$2:$C$367,Registro!$H$2:$H$367,A16))</f>
        <v/>
      </c>
      <c r="D16" s="29">
        <f>IF(OR(A16="",Ajustes!$B$5=""),"",C16-Ajustes!$B$5)</f>
        <v/>
      </c>
    </row>
    <row r="17">
      <c r="A17" s="21">
        <f>IF(A16="","",IF(A16+7&gt;DATE(Ajustes!$B$3,12,31),"",A16+7))</f>
        <v/>
      </c>
      <c r="B17" s="21">
        <f>IF(A17="","",A17+6)</f>
        <v/>
      </c>
      <c r="C17" s="26">
        <f>IF(A17="","",SUMIFS(Registro!$C$2:$C$367,Registro!$H$2:$H$367,A17))</f>
        <v/>
      </c>
      <c r="D17" s="29">
        <f>IF(OR(A17="",Ajustes!$B$5=""),"",C17-Ajustes!$B$5)</f>
        <v/>
      </c>
    </row>
    <row r="18">
      <c r="A18" s="21">
        <f>IF(A17="","",IF(A17+7&gt;DATE(Ajustes!$B$3,12,31),"",A17+7))</f>
        <v/>
      </c>
      <c r="B18" s="21">
        <f>IF(A18="","",A18+6)</f>
        <v/>
      </c>
      <c r="C18" s="26">
        <f>IF(A18="","",SUMIFS(Registro!$C$2:$C$367,Registro!$H$2:$H$367,A18))</f>
        <v/>
      </c>
      <c r="D18" s="29">
        <f>IF(OR(A18="",Ajustes!$B$5=""),"",C18-Ajustes!$B$5)</f>
        <v/>
      </c>
    </row>
    <row r="19">
      <c r="A19" s="21">
        <f>IF(A18="","",IF(A18+7&gt;DATE(Ajustes!$B$3,12,31),"",A18+7))</f>
        <v/>
      </c>
      <c r="B19" s="21">
        <f>IF(A19="","",A19+6)</f>
        <v/>
      </c>
      <c r="C19" s="26">
        <f>IF(A19="","",SUMIFS(Registro!$C$2:$C$367,Registro!$H$2:$H$367,A19))</f>
        <v/>
      </c>
      <c r="D19" s="29">
        <f>IF(OR(A19="",Ajustes!$B$5=""),"",C19-Ajustes!$B$5)</f>
        <v/>
      </c>
    </row>
    <row r="20">
      <c r="A20" s="21">
        <f>IF(A19="","",IF(A19+7&gt;DATE(Ajustes!$B$3,12,31),"",A19+7))</f>
        <v/>
      </c>
      <c r="B20" s="21">
        <f>IF(A20="","",A20+6)</f>
        <v/>
      </c>
      <c r="C20" s="26">
        <f>IF(A20="","",SUMIFS(Registro!$C$2:$C$367,Registro!$H$2:$H$367,A20))</f>
        <v/>
      </c>
      <c r="D20" s="29">
        <f>IF(OR(A20="",Ajustes!$B$5=""),"",C20-Ajustes!$B$5)</f>
        <v/>
      </c>
    </row>
    <row r="21">
      <c r="A21" s="21">
        <f>IF(A20="","",IF(A20+7&gt;DATE(Ajustes!$B$3,12,31),"",A20+7))</f>
        <v/>
      </c>
      <c r="B21" s="21">
        <f>IF(A21="","",A21+6)</f>
        <v/>
      </c>
      <c r="C21" s="26">
        <f>IF(A21="","",SUMIFS(Registro!$C$2:$C$367,Registro!$H$2:$H$367,A21))</f>
        <v/>
      </c>
      <c r="D21" s="29">
        <f>IF(OR(A21="",Ajustes!$B$5=""),"",C21-Ajustes!$B$5)</f>
        <v/>
      </c>
    </row>
    <row r="22">
      <c r="A22" s="21">
        <f>IF(A21="","",IF(A21+7&gt;DATE(Ajustes!$B$3,12,31),"",A21+7))</f>
        <v/>
      </c>
      <c r="B22" s="21">
        <f>IF(A22="","",A22+6)</f>
        <v/>
      </c>
      <c r="C22" s="26">
        <f>IF(A22="","",SUMIFS(Registro!$C$2:$C$367,Registro!$H$2:$H$367,A22))</f>
        <v/>
      </c>
      <c r="D22" s="29">
        <f>IF(OR(A22="",Ajustes!$B$5=""),"",C22-Ajustes!$B$5)</f>
        <v/>
      </c>
    </row>
    <row r="23">
      <c r="A23" s="21">
        <f>IF(A22="","",IF(A22+7&gt;DATE(Ajustes!$B$3,12,31),"",A22+7))</f>
        <v/>
      </c>
      <c r="B23" s="21">
        <f>IF(A23="","",A23+6)</f>
        <v/>
      </c>
      <c r="C23" s="26">
        <f>IF(A23="","",SUMIFS(Registro!$C$2:$C$367,Registro!$H$2:$H$367,A23))</f>
        <v/>
      </c>
      <c r="D23" s="29">
        <f>IF(OR(A23="",Ajustes!$B$5=""),"",C23-Ajustes!$B$5)</f>
        <v/>
      </c>
    </row>
    <row r="24">
      <c r="A24" s="21">
        <f>IF(A23="","",IF(A23+7&gt;DATE(Ajustes!$B$3,12,31),"",A23+7))</f>
        <v/>
      </c>
      <c r="B24" s="21">
        <f>IF(A24="","",A24+6)</f>
        <v/>
      </c>
      <c r="C24" s="26">
        <f>IF(A24="","",SUMIFS(Registro!$C$2:$C$367,Registro!$H$2:$H$367,A24))</f>
        <v/>
      </c>
      <c r="D24" s="29">
        <f>IF(OR(A24="",Ajustes!$B$5=""),"",C24-Ajustes!$B$5)</f>
        <v/>
      </c>
    </row>
    <row r="25">
      <c r="A25" s="21">
        <f>IF(A24="","",IF(A24+7&gt;DATE(Ajustes!$B$3,12,31),"",A24+7))</f>
        <v/>
      </c>
      <c r="B25" s="21">
        <f>IF(A25="","",A25+6)</f>
        <v/>
      </c>
      <c r="C25" s="26">
        <f>IF(A25="","",SUMIFS(Registro!$C$2:$C$367,Registro!$H$2:$H$367,A25))</f>
        <v/>
      </c>
      <c r="D25" s="29">
        <f>IF(OR(A25="",Ajustes!$B$5=""),"",C25-Ajustes!$B$5)</f>
        <v/>
      </c>
    </row>
    <row r="26">
      <c r="A26" s="21">
        <f>IF(A25="","",IF(A25+7&gt;DATE(Ajustes!$B$3,12,31),"",A25+7))</f>
        <v/>
      </c>
      <c r="B26" s="21">
        <f>IF(A26="","",A26+6)</f>
        <v/>
      </c>
      <c r="C26" s="26">
        <f>IF(A26="","",SUMIFS(Registro!$C$2:$C$367,Registro!$H$2:$H$367,A26))</f>
        <v/>
      </c>
      <c r="D26" s="29">
        <f>IF(OR(A26="",Ajustes!$B$5=""),"",C26-Ajustes!$B$5)</f>
        <v/>
      </c>
    </row>
    <row r="27">
      <c r="A27" s="21">
        <f>IF(A26="","",IF(A26+7&gt;DATE(Ajustes!$B$3,12,31),"",A26+7))</f>
        <v/>
      </c>
      <c r="B27" s="21">
        <f>IF(A27="","",A27+6)</f>
        <v/>
      </c>
      <c r="C27" s="26">
        <f>IF(A27="","",SUMIFS(Registro!$C$2:$C$367,Registro!$H$2:$H$367,A27))</f>
        <v/>
      </c>
      <c r="D27" s="29">
        <f>IF(OR(A27="",Ajustes!$B$5=""),"",C27-Ajustes!$B$5)</f>
        <v/>
      </c>
    </row>
    <row r="28">
      <c r="A28" s="21">
        <f>IF(A27="","",IF(A27+7&gt;DATE(Ajustes!$B$3,12,31),"",A27+7))</f>
        <v/>
      </c>
      <c r="B28" s="21">
        <f>IF(A28="","",A28+6)</f>
        <v/>
      </c>
      <c r="C28" s="26">
        <f>IF(A28="","",SUMIFS(Registro!$C$2:$C$367,Registro!$H$2:$H$367,A28))</f>
        <v/>
      </c>
      <c r="D28" s="29">
        <f>IF(OR(A28="",Ajustes!$B$5=""),"",C28-Ajustes!$B$5)</f>
        <v/>
      </c>
    </row>
    <row r="29">
      <c r="A29" s="21">
        <f>IF(A28="","",IF(A28+7&gt;DATE(Ajustes!$B$3,12,31),"",A28+7))</f>
        <v/>
      </c>
      <c r="B29" s="21">
        <f>IF(A29="","",A29+6)</f>
        <v/>
      </c>
      <c r="C29" s="26">
        <f>IF(A29="","",SUMIFS(Registro!$C$2:$C$367,Registro!$H$2:$H$367,A29))</f>
        <v/>
      </c>
      <c r="D29" s="29">
        <f>IF(OR(A29="",Ajustes!$B$5=""),"",C29-Ajustes!$B$5)</f>
        <v/>
      </c>
    </row>
    <row r="30">
      <c r="A30" s="21">
        <f>IF(A29="","",IF(A29+7&gt;DATE(Ajustes!$B$3,12,31),"",A29+7))</f>
        <v/>
      </c>
      <c r="B30" s="21">
        <f>IF(A30="","",A30+6)</f>
        <v/>
      </c>
      <c r="C30" s="26">
        <f>IF(A30="","",SUMIFS(Registro!$C$2:$C$367,Registro!$H$2:$H$367,A30))</f>
        <v/>
      </c>
      <c r="D30" s="29">
        <f>IF(OR(A30="",Ajustes!$B$5=""),"",C30-Ajustes!$B$5)</f>
        <v/>
      </c>
    </row>
    <row r="31">
      <c r="A31" s="21">
        <f>IF(A30="","",IF(A30+7&gt;DATE(Ajustes!$B$3,12,31),"",A30+7))</f>
        <v/>
      </c>
      <c r="B31" s="21">
        <f>IF(A31="","",A31+6)</f>
        <v/>
      </c>
      <c r="C31" s="26">
        <f>IF(A31="","",SUMIFS(Registro!$C$2:$C$367,Registro!$H$2:$H$367,A31))</f>
        <v/>
      </c>
      <c r="D31" s="29">
        <f>IF(OR(A31="",Ajustes!$B$5=""),"",C31-Ajustes!$B$5)</f>
        <v/>
      </c>
    </row>
    <row r="32">
      <c r="A32" s="21">
        <f>IF(A31="","",IF(A31+7&gt;DATE(Ajustes!$B$3,12,31),"",A31+7))</f>
        <v/>
      </c>
      <c r="B32" s="21">
        <f>IF(A32="","",A32+6)</f>
        <v/>
      </c>
      <c r="C32" s="26">
        <f>IF(A32="","",SUMIFS(Registro!$C$2:$C$367,Registro!$H$2:$H$367,A32))</f>
        <v/>
      </c>
      <c r="D32" s="29">
        <f>IF(OR(A32="",Ajustes!$B$5=""),"",C32-Ajustes!$B$5)</f>
        <v/>
      </c>
    </row>
    <row r="33">
      <c r="A33" s="21">
        <f>IF(A32="","",IF(A32+7&gt;DATE(Ajustes!$B$3,12,31),"",A32+7))</f>
        <v/>
      </c>
      <c r="B33" s="21">
        <f>IF(A33="","",A33+6)</f>
        <v/>
      </c>
      <c r="C33" s="26">
        <f>IF(A33="","",SUMIFS(Registro!$C$2:$C$367,Registro!$H$2:$H$367,A33))</f>
        <v/>
      </c>
      <c r="D33" s="29">
        <f>IF(OR(A33="",Ajustes!$B$5=""),"",C33-Ajustes!$B$5)</f>
        <v/>
      </c>
    </row>
    <row r="34">
      <c r="A34" s="21">
        <f>IF(A33="","",IF(A33+7&gt;DATE(Ajustes!$B$3,12,31),"",A33+7))</f>
        <v/>
      </c>
      <c r="B34" s="21">
        <f>IF(A34="","",A34+6)</f>
        <v/>
      </c>
      <c r="C34" s="26">
        <f>IF(A34="","",SUMIFS(Registro!$C$2:$C$367,Registro!$H$2:$H$367,A34))</f>
        <v/>
      </c>
      <c r="D34" s="29">
        <f>IF(OR(A34="",Ajustes!$B$5=""),"",C34-Ajustes!$B$5)</f>
        <v/>
      </c>
    </row>
    <row r="35">
      <c r="A35" s="21">
        <f>IF(A34="","",IF(A34+7&gt;DATE(Ajustes!$B$3,12,31),"",A34+7))</f>
        <v/>
      </c>
      <c r="B35" s="21">
        <f>IF(A35="","",A35+6)</f>
        <v/>
      </c>
      <c r="C35" s="26">
        <f>IF(A35="","",SUMIFS(Registro!$C$2:$C$367,Registro!$H$2:$H$367,A35))</f>
        <v/>
      </c>
      <c r="D35" s="29">
        <f>IF(OR(A35="",Ajustes!$B$5=""),"",C35-Ajustes!$B$5)</f>
        <v/>
      </c>
    </row>
    <row r="36">
      <c r="A36" s="21">
        <f>IF(A35="","",IF(A35+7&gt;DATE(Ajustes!$B$3,12,31),"",A35+7))</f>
        <v/>
      </c>
      <c r="B36" s="21">
        <f>IF(A36="","",A36+6)</f>
        <v/>
      </c>
      <c r="C36" s="26">
        <f>IF(A36="","",SUMIFS(Registro!$C$2:$C$367,Registro!$H$2:$H$367,A36))</f>
        <v/>
      </c>
      <c r="D36" s="29">
        <f>IF(OR(A36="",Ajustes!$B$5=""),"",C36-Ajustes!$B$5)</f>
        <v/>
      </c>
    </row>
    <row r="37">
      <c r="A37" s="21">
        <f>IF(A36="","",IF(A36+7&gt;DATE(Ajustes!$B$3,12,31),"",A36+7))</f>
        <v/>
      </c>
      <c r="B37" s="21">
        <f>IF(A37="","",A37+6)</f>
        <v/>
      </c>
      <c r="C37" s="26">
        <f>IF(A37="","",SUMIFS(Registro!$C$2:$C$367,Registro!$H$2:$H$367,A37))</f>
        <v/>
      </c>
      <c r="D37" s="29">
        <f>IF(OR(A37="",Ajustes!$B$5=""),"",C37-Ajustes!$B$5)</f>
        <v/>
      </c>
    </row>
    <row r="38">
      <c r="A38" s="21">
        <f>IF(A37="","",IF(A37+7&gt;DATE(Ajustes!$B$3,12,31),"",A37+7))</f>
        <v/>
      </c>
      <c r="B38" s="21">
        <f>IF(A38="","",A38+6)</f>
        <v/>
      </c>
      <c r="C38" s="26">
        <f>IF(A38="","",SUMIFS(Registro!$C$2:$C$367,Registro!$H$2:$H$367,A38))</f>
        <v/>
      </c>
      <c r="D38" s="29">
        <f>IF(OR(A38="",Ajustes!$B$5=""),"",C38-Ajustes!$B$5)</f>
        <v/>
      </c>
    </row>
    <row r="39">
      <c r="A39" s="21">
        <f>IF(A38="","",IF(A38+7&gt;DATE(Ajustes!$B$3,12,31),"",A38+7))</f>
        <v/>
      </c>
      <c r="B39" s="21">
        <f>IF(A39="","",A39+6)</f>
        <v/>
      </c>
      <c r="C39" s="26">
        <f>IF(A39="","",SUMIFS(Registro!$C$2:$C$367,Registro!$H$2:$H$367,A39))</f>
        <v/>
      </c>
      <c r="D39" s="29">
        <f>IF(OR(A39="",Ajustes!$B$5=""),"",C39-Ajustes!$B$5)</f>
        <v/>
      </c>
    </row>
    <row r="40">
      <c r="A40" s="21">
        <f>IF(A39="","",IF(A39+7&gt;DATE(Ajustes!$B$3,12,31),"",A39+7))</f>
        <v/>
      </c>
      <c r="B40" s="21">
        <f>IF(A40="","",A40+6)</f>
        <v/>
      </c>
      <c r="C40" s="26">
        <f>IF(A40="","",SUMIFS(Registro!$C$2:$C$367,Registro!$H$2:$H$367,A40))</f>
        <v/>
      </c>
      <c r="D40" s="29">
        <f>IF(OR(A40="",Ajustes!$B$5=""),"",C40-Ajustes!$B$5)</f>
        <v/>
      </c>
    </row>
    <row r="41">
      <c r="A41" s="21">
        <f>IF(A40="","",IF(A40+7&gt;DATE(Ajustes!$B$3,12,31),"",A40+7))</f>
        <v/>
      </c>
      <c r="B41" s="21">
        <f>IF(A41="","",A41+6)</f>
        <v/>
      </c>
      <c r="C41" s="26">
        <f>IF(A41="","",SUMIFS(Registro!$C$2:$C$367,Registro!$H$2:$H$367,A41))</f>
        <v/>
      </c>
      <c r="D41" s="29">
        <f>IF(OR(A41="",Ajustes!$B$5=""),"",C41-Ajustes!$B$5)</f>
        <v/>
      </c>
    </row>
    <row r="42">
      <c r="A42" s="21">
        <f>IF(A41="","",IF(A41+7&gt;DATE(Ajustes!$B$3,12,31),"",A41+7))</f>
        <v/>
      </c>
      <c r="B42" s="21">
        <f>IF(A42="","",A42+6)</f>
        <v/>
      </c>
      <c r="C42" s="26">
        <f>IF(A42="","",SUMIFS(Registro!$C$2:$C$367,Registro!$H$2:$H$367,A42))</f>
        <v/>
      </c>
      <c r="D42" s="29">
        <f>IF(OR(A42="",Ajustes!$B$5=""),"",C42-Ajustes!$B$5)</f>
        <v/>
      </c>
    </row>
    <row r="43">
      <c r="A43" s="21">
        <f>IF(A42="","",IF(A42+7&gt;DATE(Ajustes!$B$3,12,31),"",A42+7))</f>
        <v/>
      </c>
      <c r="B43" s="21">
        <f>IF(A43="","",A43+6)</f>
        <v/>
      </c>
      <c r="C43" s="26">
        <f>IF(A43="","",SUMIFS(Registro!$C$2:$C$367,Registro!$H$2:$H$367,A43))</f>
        <v/>
      </c>
      <c r="D43" s="29">
        <f>IF(OR(A43="",Ajustes!$B$5=""),"",C43-Ajustes!$B$5)</f>
        <v/>
      </c>
    </row>
    <row r="44">
      <c r="A44" s="21">
        <f>IF(A43="","",IF(A43+7&gt;DATE(Ajustes!$B$3,12,31),"",A43+7))</f>
        <v/>
      </c>
      <c r="B44" s="21">
        <f>IF(A44="","",A44+6)</f>
        <v/>
      </c>
      <c r="C44" s="26">
        <f>IF(A44="","",SUMIFS(Registro!$C$2:$C$367,Registro!$H$2:$H$367,A44))</f>
        <v/>
      </c>
      <c r="D44" s="29">
        <f>IF(OR(A44="",Ajustes!$B$5=""),"",C44-Ajustes!$B$5)</f>
        <v/>
      </c>
    </row>
    <row r="45">
      <c r="A45" s="21">
        <f>IF(A44="","",IF(A44+7&gt;DATE(Ajustes!$B$3,12,31),"",A44+7))</f>
        <v/>
      </c>
      <c r="B45" s="21">
        <f>IF(A45="","",A45+6)</f>
        <v/>
      </c>
      <c r="C45" s="26">
        <f>IF(A45="","",SUMIFS(Registro!$C$2:$C$367,Registro!$H$2:$H$367,A45))</f>
        <v/>
      </c>
      <c r="D45" s="29">
        <f>IF(OR(A45="",Ajustes!$B$5=""),"",C45-Ajustes!$B$5)</f>
        <v/>
      </c>
    </row>
    <row r="46">
      <c r="A46" s="21">
        <f>IF(A45="","",IF(A45+7&gt;DATE(Ajustes!$B$3,12,31),"",A45+7))</f>
        <v/>
      </c>
      <c r="B46" s="21">
        <f>IF(A46="","",A46+6)</f>
        <v/>
      </c>
      <c r="C46" s="26">
        <f>IF(A46="","",SUMIFS(Registro!$C$2:$C$367,Registro!$H$2:$H$367,A46))</f>
        <v/>
      </c>
      <c r="D46" s="29">
        <f>IF(OR(A46="",Ajustes!$B$5=""),"",C46-Ajustes!$B$5)</f>
        <v/>
      </c>
    </row>
    <row r="47">
      <c r="A47" s="21">
        <f>IF(A46="","",IF(A46+7&gt;DATE(Ajustes!$B$3,12,31),"",A46+7))</f>
        <v/>
      </c>
      <c r="B47" s="21">
        <f>IF(A47="","",A47+6)</f>
        <v/>
      </c>
      <c r="C47" s="26">
        <f>IF(A47="","",SUMIFS(Registro!$C$2:$C$367,Registro!$H$2:$H$367,A47))</f>
        <v/>
      </c>
      <c r="D47" s="29">
        <f>IF(OR(A47="",Ajustes!$B$5=""),"",C47-Ajustes!$B$5)</f>
        <v/>
      </c>
    </row>
    <row r="48">
      <c r="A48" s="21">
        <f>IF(A47="","",IF(A47+7&gt;DATE(Ajustes!$B$3,12,31),"",A47+7))</f>
        <v/>
      </c>
      <c r="B48" s="21">
        <f>IF(A48="","",A48+6)</f>
        <v/>
      </c>
      <c r="C48" s="26">
        <f>IF(A48="","",SUMIFS(Registro!$C$2:$C$367,Registro!$H$2:$H$367,A48))</f>
        <v/>
      </c>
      <c r="D48" s="29">
        <f>IF(OR(A48="",Ajustes!$B$5=""),"",C48-Ajustes!$B$5)</f>
        <v/>
      </c>
    </row>
    <row r="49">
      <c r="A49" s="21">
        <f>IF(A48="","",IF(A48+7&gt;DATE(Ajustes!$B$3,12,31),"",A48+7))</f>
        <v/>
      </c>
      <c r="B49" s="21">
        <f>IF(A49="","",A49+6)</f>
        <v/>
      </c>
      <c r="C49" s="26">
        <f>IF(A49="","",SUMIFS(Registro!$C$2:$C$367,Registro!$H$2:$H$367,A49))</f>
        <v/>
      </c>
      <c r="D49" s="29">
        <f>IF(OR(A49="",Ajustes!$B$5=""),"",C49-Ajustes!$B$5)</f>
        <v/>
      </c>
    </row>
    <row r="50">
      <c r="A50" s="21">
        <f>IF(A49="","",IF(A49+7&gt;DATE(Ajustes!$B$3,12,31),"",A49+7))</f>
        <v/>
      </c>
      <c r="B50" s="21">
        <f>IF(A50="","",A50+6)</f>
        <v/>
      </c>
      <c r="C50" s="26">
        <f>IF(A50="","",SUMIFS(Registro!$C$2:$C$367,Registro!$H$2:$H$367,A50))</f>
        <v/>
      </c>
      <c r="D50" s="29">
        <f>IF(OR(A50="",Ajustes!$B$5=""),"",C50-Ajustes!$B$5)</f>
        <v/>
      </c>
    </row>
    <row r="51">
      <c r="A51" s="21">
        <f>IF(A50="","",IF(A50+7&gt;DATE(Ajustes!$B$3,12,31),"",A50+7))</f>
        <v/>
      </c>
      <c r="B51" s="21">
        <f>IF(A51="","",A51+6)</f>
        <v/>
      </c>
      <c r="C51" s="26">
        <f>IF(A51="","",SUMIFS(Registro!$C$2:$C$367,Registro!$H$2:$H$367,A51))</f>
        <v/>
      </c>
      <c r="D51" s="29">
        <f>IF(OR(A51="",Ajustes!$B$5=""),"",C51-Ajustes!$B$5)</f>
        <v/>
      </c>
    </row>
    <row r="52">
      <c r="A52" s="21">
        <f>IF(A51="","",IF(A51+7&gt;DATE(Ajustes!$B$3,12,31),"",A51+7))</f>
        <v/>
      </c>
      <c r="B52" s="21">
        <f>IF(A52="","",A52+6)</f>
        <v/>
      </c>
      <c r="C52" s="26">
        <f>IF(A52="","",SUMIFS(Registro!$C$2:$C$367,Registro!$H$2:$H$367,A52))</f>
        <v/>
      </c>
      <c r="D52" s="29">
        <f>IF(OR(A52="",Ajustes!$B$5=""),"",C52-Ajustes!$B$5)</f>
        <v/>
      </c>
    </row>
    <row r="53">
      <c r="A53" s="21">
        <f>IF(A52="","",IF(A52+7&gt;DATE(Ajustes!$B$3,12,31),"",A52+7))</f>
        <v/>
      </c>
      <c r="B53" s="21">
        <f>IF(A53="","",A53+6)</f>
        <v/>
      </c>
      <c r="C53" s="26">
        <f>IF(A53="","",SUMIFS(Registro!$C$2:$C$367,Registro!$H$2:$H$367,A53))</f>
        <v/>
      </c>
      <c r="D53" s="29">
        <f>IF(OR(A53="",Ajustes!$B$5=""),"",C53-Ajustes!$B$5)</f>
        <v/>
      </c>
    </row>
    <row r="54">
      <c r="A54" s="21">
        <f>IF(A53="","",IF(A53+7&gt;DATE(Ajustes!$B$3,12,31),"",A53+7))</f>
        <v/>
      </c>
      <c r="B54" s="21">
        <f>IF(A54="","",A54+6)</f>
        <v/>
      </c>
      <c r="C54" s="26">
        <f>IF(A54="","",SUMIFS(Registro!$C$2:$C$367,Registro!$H$2:$H$367,A54))</f>
        <v/>
      </c>
      <c r="D54" s="29">
        <f>IF(OR(A54="",Ajustes!$B$5=""),"",C54-Ajustes!$B$5)</f>
        <v/>
      </c>
    </row>
    <row r="55">
      <c r="A55" s="21">
        <f>IF(A54="","",IF(A54+7&gt;DATE(Ajustes!$B$3,12,31),"",A54+7))</f>
        <v/>
      </c>
      <c r="B55" s="21">
        <f>IF(A55="","",A55+6)</f>
        <v/>
      </c>
      <c r="C55" s="26">
        <f>IF(A55="","",SUMIFS(Registro!$C$2:$C$367,Registro!$H$2:$H$367,A55))</f>
        <v/>
      </c>
      <c r="D55" s="29">
        <f>IF(OR(A55="",Ajustes!$B$5=""),"",C55-Ajustes!$B$5)</f>
        <v/>
      </c>
    </row>
    <row r="56">
      <c r="A56" s="21">
        <f>IF(A55="","",IF(A55+7&gt;DATE(Ajustes!$B$3,12,31),"",A55+7))</f>
        <v/>
      </c>
      <c r="B56" s="21">
        <f>IF(A56="","",A56+6)</f>
        <v/>
      </c>
      <c r="C56" s="26">
        <f>IF(A56="","",SUMIFS(Registro!$C$2:$C$367,Registro!$H$2:$H$367,A56))</f>
        <v/>
      </c>
      <c r="D56" s="29">
        <f>IF(OR(A56="",Ajustes!$B$5=""),"",C56-Ajustes!$B$5)</f>
        <v/>
      </c>
    </row>
    <row r="57">
      <c r="A57" s="21">
        <f>IF(A56="","",IF(A56+7&gt;DATE(Ajustes!$B$3,12,31),"",A56+7))</f>
        <v/>
      </c>
      <c r="B57" s="21">
        <f>IF(A57="","",A57+6)</f>
        <v/>
      </c>
      <c r="C57" s="26">
        <f>IF(A57="","",SUMIFS(Registro!$C$2:$C$367,Registro!$H$2:$H$367,A57))</f>
        <v/>
      </c>
      <c r="D57" s="29">
        <f>IF(OR(A57="",Ajustes!$B$5=""),"",C57-Ajustes!$B$5)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2026-09-23T21:53:49Z</dcterms:created>
  <dcterms:modified xsi:type="dcterms:W3CDTF">2026-09-23T21:53:49Z</dcterms:modified>
</cp:coreProperties>
</file>